
<file path=[Content_Types].xml><?xml version="1.0" encoding="utf-8"?>
<Types xmlns="http://schemas.openxmlformats.org/package/2006/content-types">
  <Default Extension="xml" ContentType="application/xml"/>
  <Default Extension="wmf" ContentType="image/x-wmf"/>
  <Default Extension="png" ContentType="image/png"/>
  <Default Extension="jpeg" ContentType="image/jpeg"/>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theme/theme1.xml" ContentType="application/vnd.openxmlformats-officedocument.theme+xml"/>
  <Override PartName="/xl/externalLinks/externalLink4.xml" ContentType="application/vnd.openxmlformats-officedocument.spreadsheetml.externalLink+xml"/>
  <Override PartName="/xl/worksheets/sheet12.xml" ContentType="application/vnd.openxmlformats-officedocument.spreadsheetml.worksheet+xml"/>
  <Override PartName="/xl/externalLinks/externalLink2.xml" ContentType="application/vnd.openxmlformats-officedocument.spreadsheetml.externalLink+xml"/>
  <Override PartName="/xl/worksheets/sheet7.xml" ContentType="application/vnd.openxmlformats-officedocument.spreadsheetml.worksheet+xml"/>
  <Override PartName="/xl/worksheets/sheet20.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xl/worksheets/sheet5.xml" ContentType="application/vnd.openxmlformats-officedocument.spreadsheetml.worksheet+xml"/>
  <Override PartName="/xl/worksheets/sheet2.xml" ContentType="application/vnd.openxmlformats-officedocument.spreadsheetml.worksheet+xml"/>
  <Override PartName="/xl/worksheets/sheet9.xml" ContentType="application/vnd.openxmlformats-officedocument.spreadsheetml.worksheet+xml"/>
  <Override PartName="/xl/worksheets/sheet6.xml" ContentType="application/vnd.openxmlformats-officedocument.spreadsheetml.worksheet+xml"/>
  <Override PartName="/xl/externalLinks/externalLink5.xml" ContentType="application/vnd.openxmlformats-officedocument.spreadsheetml.externalLink+xml"/>
  <Override PartName="/xl/worksheets/sheet16.xml" ContentType="application/vnd.openxmlformats-officedocument.spreadsheetml.worksheet+xml"/>
  <Override PartName="/xl/worksheets/sheet8.xml" ContentType="application/vnd.openxmlformats-officedocument.spreadsheetml.worksheet+xml"/>
  <Override PartName="/xl/worksheets/sheet21.xml" ContentType="application/vnd.openxmlformats-officedocument.spreadsheetml.worksheet+xml"/>
  <Override PartName="/xl/worksheets/sheet14.xml" ContentType="application/vnd.openxmlformats-officedocument.spreadsheetml.worksheet+xml"/>
  <Override PartName="/xl/worksheets/sheet11.xml" ContentType="application/vnd.openxmlformats-officedocument.spreadsheetml.worksheet+xml"/>
  <Override PartName="/xl/worksheets/sheet13.xml" ContentType="application/vnd.openxmlformats-officedocument.spreadsheetml.worksheet+xml"/>
  <Override PartName="/xl/worksheets/sheet10.xml" ContentType="application/vnd.openxmlformats-officedocument.spreadsheetml.worksheet+xml"/>
  <Override PartName="/xl/worksheets/sheet17.xml" ContentType="application/vnd.openxmlformats-officedocument.spreadsheetml.worksheet+xml"/>
  <Override PartName="/xl/workbook.xml" ContentType="application/vnd.openxmlformats-officedocument.spreadsheetml.sheet.main+xml"/>
  <Override PartName="/xl/worksheets/sheet18.xml" ContentType="application/vnd.openxmlformats-officedocument.spreadsheetml.worksheet+xml"/>
  <Override PartName="/xl/externalLinks/externalLink3.xml" ContentType="application/vnd.openxmlformats-officedocument.spreadsheetml.externalLink+xml"/>
  <Override PartName="/xl/worksheets/sheet3.xml" ContentType="application/vnd.openxmlformats-officedocument.spreadsheetml.worksheet+xml"/>
  <Override PartName="/xl/worksheets/sheet1.xml" ContentType="application/vnd.openxmlformats-officedocument.spreadsheetml.worksheet+xml"/>
  <Override PartName="/docProps/custom.xml" ContentType="application/vnd.openxmlformats-officedocument.custom-properties+xml"/>
  <Override PartName="/xl/worksheets/sheet15.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worksheets/sheet22.xml" ContentType="application/vnd.openxmlformats-officedocument.spreadsheetml.worksheet+xml"/>
  <Override PartName="/xl/styles.xml" ContentType="application/vnd.openxmlformats-officedocument.spreadsheetml.styles+xml"/>
</Types>
</file>

<file path=_rels/.rels><?xml version="1.0" encoding="UTF-8" standalone="yes"?><Relationships xmlns="http://schemas.openxmlformats.org/package/2006/relationships"><Relationship  Id="rId4"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custom-properties" Target="docProps/custom.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19"/>
  </bookViews>
  <sheets>
    <sheet name="1.20" sheetId="1" state="hidden" r:id="rId6"/>
    <sheet name="表6资金使用成效（12月30日）" sheetId="2" state="hidden" r:id="rId7"/>
    <sheet name="小康村到县资金" sheetId="3" state="hidden" r:id="rId8"/>
    <sheet name="乡村振兴局测算11.11" sheetId="4" state="hidden" r:id="rId9"/>
    <sheet name="系统导出监测人口统计表" sheetId="5" state="hidden" r:id="rId10"/>
    <sheet name="脱贫和监测人口收入" sheetId="6" state="hidden" r:id="rId11"/>
    <sheet name="小额信贷规模" sheetId="7" state="hidden" r:id="rId12"/>
    <sheet name="2022年项目库建设情况" sheetId="8" state="hidden" r:id="rId13"/>
    <sheet name="综合进度表" sheetId="9" state="hidden" r:id="rId14"/>
    <sheet name="万人以上安置区" sheetId="10" state="hidden" r:id="rId15"/>
    <sheet name="3000以上安置区" sheetId="11" state="hidden" r:id="rId16"/>
    <sheet name="脱贫和监测人口外出务工" sheetId="12" state="hidden" r:id="rId17"/>
    <sheet name="资金绩效考核" sheetId="13" state="hidden" r:id="rId18"/>
    <sheet name="财政调整3" sheetId="14" state="hidden" r:id="rId19"/>
    <sheet name="综合进度" sheetId="15" state="hidden" r:id="rId20"/>
    <sheet name="12.23" sheetId="16" state="hidden" r:id="rId21"/>
    <sheet name="12.29（补差过程）" sheetId="17" state="hidden" r:id="rId22"/>
    <sheet name="审计发现问题个数" sheetId="18" state="hidden" r:id="rId23"/>
    <sheet name="项目库建设情况" sheetId="19" state="hidden" r:id="rId24"/>
    <sheet name="下达表" sheetId="20" state="visible" r:id="rId25"/>
    <sheet name="下达表 (带公式表)" sheetId="21" state="hidden" r:id="rId26"/>
    <sheet name="分配简表 (2)" sheetId="22" state="hidden" r:id="rId27"/>
  </sheets>
  <externalReferences>
    <externalReference r:id="rId1"/>
    <externalReference r:id="rId2"/>
    <externalReference r:id="rId3"/>
    <externalReference r:id="rId4"/>
    <externalReference r:id="rId5"/>
  </externalReferences>
  <definedNames>
    <definedName name="_xlnm._FilterDatabase" localSheetId="0" hidden="1">'1.20'!$A$1:$AT$194</definedName>
    <definedName name="Print_Titles" localSheetId="0">'1.20'!$A:$B,'1.20'!$2:$8</definedName>
    <definedName name="_xlnm.Print_Area" localSheetId="0">'1.20'!$A$1:$AR$194</definedName>
    <definedName name="_xlnm._FilterDatabase" localSheetId="1" hidden="1">表6资金使用成效（12月30日）!$A$2:$L$126</definedName>
    <definedName name="_xlnm._FilterDatabase" localSheetId="3" hidden="1">乡村振兴局测算11.11!$A$9:$BR$194</definedName>
    <definedName name="_xlnm._FilterDatabase" localSheetId="8" hidden="1">综合进度表!$A$3:$O$277</definedName>
    <definedName name="_________t4" localSheetId="8">#REF!</definedName>
    <definedName name="_________t7" localSheetId="8">#REF!</definedName>
    <definedName name="_____t4" localSheetId="8">#REF!</definedName>
    <definedName name="_____t7" localSheetId="8">#REF!</definedName>
    <definedName name="____t4" localSheetId="8">#REF!</definedName>
    <definedName name="____t7" localSheetId="8">#REF!</definedName>
    <definedName name="___t4" localSheetId="8">#REF!</definedName>
    <definedName name="___t7" localSheetId="8">#REF!</definedName>
    <definedName name="__t4" localSheetId="8">#REF!</definedName>
    <definedName name="__t7" localSheetId="8">#REF!</definedName>
    <definedName name="_1t4_" localSheetId="8">#REF!</definedName>
    <definedName name="_2t7_" localSheetId="8">#REF!</definedName>
    <definedName name="_t4" localSheetId="8">#REF!</definedName>
    <definedName name="_t7" localSheetId="8">#REF!</definedName>
    <definedName name="A" localSheetId="8">#REF!</definedName>
    <definedName name="aa" localSheetId="8">#REF!</definedName>
    <definedName name="ABC" localSheetId="8">#REF!</definedName>
    <definedName name="ABD" localSheetId="8">#REF!</definedName>
    <definedName name="ad" localSheetId="8">#REF!</definedName>
    <definedName name="county" localSheetId="8">#REF!</definedName>
    <definedName name="data" localSheetId="8">#REF!</definedName>
    <definedName name="Database" localSheetId="8">#REF!</definedName>
    <definedName name="database2" localSheetId="8">#REF!</definedName>
    <definedName name="database3" localSheetId="8">#REF!</definedName>
    <definedName name="df" localSheetId="8">#REF!</definedName>
    <definedName name="dsaa" localSheetId="8">#REF!</definedName>
    <definedName name="dw" localSheetId="8">#REF!</definedName>
    <definedName name="E206." localSheetId="8">#REF!</definedName>
    <definedName name="ee" localSheetId="8">#REF!</definedName>
    <definedName name="eee" localSheetId="8">#REF!</definedName>
    <definedName name="FaWenCode" localSheetId="8">综合进度表!#REF!</definedName>
    <definedName name="fd" localSheetId="8">#REF!</definedName>
    <definedName name="ff" localSheetId="8">#REF!</definedName>
    <definedName name="fff" localSheetId="8">#REF!</definedName>
    <definedName name="fgh" localSheetId="8">#REF!</definedName>
    <definedName name="gf" localSheetId="8">#REF!</definedName>
    <definedName name="hhhh" localSheetId="8">#REF!</definedName>
    <definedName name="jhi" localSheetId="8">#REF!</definedName>
    <definedName name="kkkk" localSheetId="8">#REF!</definedName>
    <definedName name="mj" localSheetId="8">#REF!</definedName>
    <definedName name="Print_Area_MI" localSheetId="8">#REF!</definedName>
    <definedName name="q" localSheetId="8">#REF!</definedName>
    <definedName name="rf" localSheetId="8">#REF!</definedName>
    <definedName name="rrrr" localSheetId="8">#REF!</definedName>
    <definedName name="rt" localSheetId="8">#REF!</definedName>
    <definedName name="rwerwe" localSheetId="8">#REF!</definedName>
    <definedName name="s" localSheetId="8">#REF!</definedName>
    <definedName name="sd" localSheetId="8" hidden="1">#REF!</definedName>
    <definedName name="ss" localSheetId="8">#REF!</definedName>
    <definedName name="tr" localSheetId="8">#REF!</definedName>
    <definedName name="tt" localSheetId="8">#REF!</definedName>
    <definedName name="ttt" localSheetId="8">#REF!</definedName>
    <definedName name="tttt" localSheetId="8">#REF!</definedName>
    <definedName name="uu" localSheetId="8">#REF!</definedName>
    <definedName name="w" localSheetId="8">#REF!</definedName>
    <definedName name="we" localSheetId="8">#REF!</definedName>
    <definedName name="ws" localSheetId="8">#REF!</definedName>
    <definedName name="www" localSheetId="8">#REF!</definedName>
    <definedName name="y" localSheetId="8">#REF!</definedName>
    <definedName name="yyyy" localSheetId="8">#REF!</definedName>
    <definedName name="部" localSheetId="8">#REF!</definedName>
    <definedName name="财政供养" localSheetId="8">#REF!</definedName>
    <definedName name="赤字县图" localSheetId="8">#REF!</definedName>
    <definedName name="处室" localSheetId="8">#REF!</definedName>
    <definedName name="大幅度" localSheetId="8">#REF!</definedName>
    <definedName name="地税" localSheetId="8" hidden="1">#REF!</definedName>
    <definedName name="还有" localSheetId="8">#REF!</definedName>
    <definedName name="汇率" localSheetId="8">#REF!</definedName>
    <definedName name="基金处室" localSheetId="8">#REF!</definedName>
    <definedName name="基金金额" localSheetId="8">#REF!</definedName>
    <definedName name="基金科目" localSheetId="8">#REF!</definedName>
    <definedName name="基金类型" localSheetId="8">#REF!</definedName>
    <definedName name="金额" localSheetId="8">#REF!</definedName>
    <definedName name="科目" localSheetId="8">#REF!</definedName>
    <definedName name="类型" localSheetId="8">#REF!</definedName>
    <definedName name="日" localSheetId="8">#REF!</definedName>
    <definedName name="生产列1" localSheetId="8">#REF!</definedName>
    <definedName name="生产列11" localSheetId="8">#REF!</definedName>
    <definedName name="生产列15" localSheetId="8">#REF!</definedName>
    <definedName name="生产列16" localSheetId="8">#REF!</definedName>
    <definedName name="生产列17" localSheetId="8">#REF!</definedName>
    <definedName name="生产列19" localSheetId="8">#REF!</definedName>
    <definedName name="生产列2" localSheetId="8">#REF!</definedName>
    <definedName name="生产列20" localSheetId="8">#REF!</definedName>
    <definedName name="生产列3" localSheetId="8">#REF!</definedName>
    <definedName name="生产列4" localSheetId="8">#REF!</definedName>
    <definedName name="生产列5" localSheetId="8">#REF!</definedName>
    <definedName name="生产列6" localSheetId="8">#REF!</definedName>
    <definedName name="生产列7" localSheetId="8">#REF!</definedName>
    <definedName name="生产列8" localSheetId="8">#REF!</definedName>
    <definedName name="生产列9" localSheetId="8">#REF!</definedName>
    <definedName name="生产期" localSheetId="8">#REF!</definedName>
    <definedName name="生产期1" localSheetId="8">#REF!</definedName>
    <definedName name="生产期11" localSheetId="8">#REF!</definedName>
    <definedName name="生产期123" localSheetId="8">#REF!</definedName>
    <definedName name="生产期15" localSheetId="8">#REF!</definedName>
    <definedName name="生产期16" localSheetId="8">#REF!</definedName>
    <definedName name="生产期17" localSheetId="8">#REF!</definedName>
    <definedName name="生产期19" localSheetId="8">#REF!</definedName>
    <definedName name="生产期2" localSheetId="8">#REF!</definedName>
    <definedName name="生产期20" localSheetId="8">#REF!</definedName>
    <definedName name="生产期3" localSheetId="8">#REF!</definedName>
    <definedName name="生产期4" localSheetId="8">#REF!</definedName>
    <definedName name="生产期5" localSheetId="8">#REF!</definedName>
    <definedName name="生产期6" localSheetId="8">#REF!</definedName>
    <definedName name="生产期7" localSheetId="8">#REF!</definedName>
    <definedName name="生产期8" localSheetId="8">#REF!</definedName>
    <definedName name="生产期9" localSheetId="8">#REF!</definedName>
    <definedName name="生态区层次明细" localSheetId="8" hidden="1">#REF!</definedName>
    <definedName name="是" localSheetId="8">#REF!</definedName>
    <definedName name="最终下达表" localSheetId="8">#REF!</definedName>
    <definedName name="전" localSheetId="8">#REF!</definedName>
    <definedName name="주택사업본부" localSheetId="8">#REF!</definedName>
    <definedName name="철구사업본부" localSheetId="8">#REF!</definedName>
    <definedName name="Print_Titles" localSheetId="8">综合进度表!$3:$3</definedName>
    <definedName name="_xlnm._FilterDatabase" localSheetId="13" hidden="1">财政调整3!$A$17:$BG$194</definedName>
    <definedName name="_________t4" localSheetId="13">#REF!</definedName>
    <definedName name="_________t7" localSheetId="13">#REF!</definedName>
    <definedName name="_____t4" localSheetId="13">#REF!</definedName>
    <definedName name="_____t7" localSheetId="13">#REF!</definedName>
    <definedName name="____t4" localSheetId="13">#REF!</definedName>
    <definedName name="____t7" localSheetId="13">#REF!</definedName>
    <definedName name="___t4" localSheetId="13">#REF!</definedName>
    <definedName name="___t7" localSheetId="13">#REF!</definedName>
    <definedName name="__t4" localSheetId="13">#REF!</definedName>
    <definedName name="__t7" localSheetId="13">#REF!</definedName>
    <definedName name="_1t4_" localSheetId="13">#REF!</definedName>
    <definedName name="_2t7_" localSheetId="13">#REF!</definedName>
    <definedName name="_t4" localSheetId="13">#REF!</definedName>
    <definedName name="_t7" localSheetId="13">#REF!</definedName>
    <definedName name="A" localSheetId="13">#REF!</definedName>
    <definedName name="aa" localSheetId="13">#REF!</definedName>
    <definedName name="ABC" localSheetId="13">#REF!</definedName>
    <definedName name="ABD" localSheetId="13">#REF!</definedName>
    <definedName name="ad" localSheetId="13">#REF!</definedName>
    <definedName name="county" localSheetId="13">#REF!</definedName>
    <definedName name="data" localSheetId="13">#REF!</definedName>
    <definedName name="Database" localSheetId="13">#REF!</definedName>
    <definedName name="database2" localSheetId="13">#REF!</definedName>
    <definedName name="database3" localSheetId="13">#REF!</definedName>
    <definedName name="df" localSheetId="13">#REF!</definedName>
    <definedName name="dsaa" localSheetId="13">#REF!</definedName>
    <definedName name="dw" localSheetId="13">#REF!</definedName>
    <definedName name="E206." localSheetId="13">#REF!</definedName>
    <definedName name="ee" localSheetId="13">#REF!</definedName>
    <definedName name="eee" localSheetId="13">#REF!</definedName>
    <definedName name="fd" localSheetId="13">#REF!</definedName>
    <definedName name="ff" localSheetId="13">#REF!</definedName>
    <definedName name="fff" localSheetId="13">#REF!</definedName>
    <definedName name="fgh" localSheetId="13">#REF!</definedName>
    <definedName name="gf" localSheetId="13">#REF!</definedName>
    <definedName name="hhhh" localSheetId="13">#REF!</definedName>
    <definedName name="jhi" localSheetId="13">#REF!</definedName>
    <definedName name="kkkk" localSheetId="13">#REF!</definedName>
    <definedName name="mj" localSheetId="13">#REF!</definedName>
    <definedName name="Print_Area_MI" localSheetId="13">#REF!</definedName>
    <definedName name="q" localSheetId="13">#REF!</definedName>
    <definedName name="rf" localSheetId="13">#REF!</definedName>
    <definedName name="rrrr" localSheetId="13">#REF!</definedName>
    <definedName name="rt" localSheetId="13">#REF!</definedName>
    <definedName name="rwerwe" localSheetId="13">#REF!</definedName>
    <definedName name="s" localSheetId="13">#REF!</definedName>
    <definedName name="sd" localSheetId="13" hidden="1">#REF!</definedName>
    <definedName name="ss" localSheetId="13">#REF!</definedName>
    <definedName name="tr" localSheetId="13">#REF!</definedName>
    <definedName name="tt" localSheetId="13">#REF!</definedName>
    <definedName name="ttt" localSheetId="13">#REF!</definedName>
    <definedName name="tttt" localSheetId="13">#REF!</definedName>
    <definedName name="uu" localSheetId="13">#REF!</definedName>
    <definedName name="w" localSheetId="13">#REF!</definedName>
    <definedName name="we" localSheetId="13">#REF!</definedName>
    <definedName name="ws" localSheetId="13">#REF!</definedName>
    <definedName name="www" localSheetId="13">#REF!</definedName>
    <definedName name="y" localSheetId="13">#REF!</definedName>
    <definedName name="yyyy" localSheetId="13">#REF!</definedName>
    <definedName name="部" localSheetId="13">#REF!</definedName>
    <definedName name="财政供养" localSheetId="13">#REF!</definedName>
    <definedName name="赤字县图" localSheetId="13">#REF!</definedName>
    <definedName name="处室" localSheetId="13">#REF!</definedName>
    <definedName name="大幅度" localSheetId="13">#REF!</definedName>
    <definedName name="地税" localSheetId="13" hidden="1">#REF!</definedName>
    <definedName name="还有" localSheetId="13">#REF!</definedName>
    <definedName name="汇率" localSheetId="13">#REF!</definedName>
    <definedName name="基金处室" localSheetId="13">#REF!</definedName>
    <definedName name="基金金额" localSheetId="13">#REF!</definedName>
    <definedName name="基金科目" localSheetId="13">#REF!</definedName>
    <definedName name="基金类型" localSheetId="13">#REF!</definedName>
    <definedName name="金额" localSheetId="13">#REF!</definedName>
    <definedName name="科目" localSheetId="13">#REF!</definedName>
    <definedName name="类型" localSheetId="13">#REF!</definedName>
    <definedName name="日" localSheetId="13">#REF!</definedName>
    <definedName name="生产列1" localSheetId="13">#REF!</definedName>
    <definedName name="生产列11" localSheetId="13">#REF!</definedName>
    <definedName name="生产列15" localSheetId="13">#REF!</definedName>
    <definedName name="生产列16" localSheetId="13">#REF!</definedName>
    <definedName name="生产列17" localSheetId="13">#REF!</definedName>
    <definedName name="生产列19" localSheetId="13">#REF!</definedName>
    <definedName name="生产列2" localSheetId="13">#REF!</definedName>
    <definedName name="生产列20" localSheetId="13">#REF!</definedName>
    <definedName name="生产列3" localSheetId="13">#REF!</definedName>
    <definedName name="生产列4" localSheetId="13">#REF!</definedName>
    <definedName name="生产列5" localSheetId="13">#REF!</definedName>
    <definedName name="生产列6" localSheetId="13">#REF!</definedName>
    <definedName name="生产列7" localSheetId="13">#REF!</definedName>
    <definedName name="生产列8" localSheetId="13">#REF!</definedName>
    <definedName name="生产列9" localSheetId="13">#REF!</definedName>
    <definedName name="生产期" localSheetId="13">#REF!</definedName>
    <definedName name="生产期1" localSheetId="13">#REF!</definedName>
    <definedName name="生产期11" localSheetId="13">#REF!</definedName>
    <definedName name="生产期123" localSheetId="13">#REF!</definedName>
    <definedName name="生产期15" localSheetId="13">#REF!</definedName>
    <definedName name="生产期16" localSheetId="13">#REF!</definedName>
    <definedName name="生产期17" localSheetId="13">#REF!</definedName>
    <definedName name="生产期19" localSheetId="13">#REF!</definedName>
    <definedName name="生产期2" localSheetId="13">#REF!</definedName>
    <definedName name="生产期20" localSheetId="13">#REF!</definedName>
    <definedName name="生产期3" localSheetId="13">#REF!</definedName>
    <definedName name="生产期4" localSheetId="13">#REF!</definedName>
    <definedName name="生产期5" localSheetId="13">#REF!</definedName>
    <definedName name="生产期6" localSheetId="13">#REF!</definedName>
    <definedName name="生产期7" localSheetId="13">#REF!</definedName>
    <definedName name="生产期8" localSheetId="13">#REF!</definedName>
    <definedName name="生产期9" localSheetId="13">#REF!</definedName>
    <definedName name="生态区层次明细" localSheetId="13" hidden="1">#REF!</definedName>
    <definedName name="是" localSheetId="13">#REF!</definedName>
    <definedName name="最终下达表" localSheetId="13">#REF!</definedName>
    <definedName name="전" localSheetId="13">#REF!</definedName>
    <definedName name="주택사업본부" localSheetId="13">#REF!</definedName>
    <definedName name="철구사업본부" localSheetId="13">#REF!</definedName>
    <definedName name="Print_Titles" localSheetId="13">财政调整3!$A:$B,财政调整3!$4:$8</definedName>
    <definedName name="_xlnm._FilterDatabase" localSheetId="14" hidden="1">综合进度!$5:$167</definedName>
    <definedName name="_xlnm._FilterDatabase" localSheetId="15" hidden="1">'12.23'!$A$17:$BG$194</definedName>
    <definedName name="Print_Titles" localSheetId="15">'12.23'!$A:$B,'12.23'!$4:$8</definedName>
    <definedName name="_xlnm.Print_Area" localSheetId="15">'12.23'!$A$2:$BD$194</definedName>
    <definedName name="_xlnm._FilterDatabase" localSheetId="16" hidden="1">'12.29（补差过程）'!$A$9:$BH$194</definedName>
    <definedName name="Print_Titles" localSheetId="16">'12.29（补差过程）'!$A:$B,'12.29（补差过程）'!$4:$8</definedName>
    <definedName name="_xlnm.Print_Area" localSheetId="16">'12.29（补差过程）'!$A$2:$BD$194</definedName>
    <definedName name="_xlnm._FilterDatabase" localSheetId="18" hidden="1">项目库建设情况!$A$3:$L$149</definedName>
    <definedName name="_________t4" localSheetId="18">#REF!</definedName>
    <definedName name="_________t7" localSheetId="18">#REF!</definedName>
    <definedName name="_____t4" localSheetId="18">#REF!</definedName>
    <definedName name="_____t7" localSheetId="18">#REF!</definedName>
    <definedName name="____t4" localSheetId="18">#REF!</definedName>
    <definedName name="____t7" localSheetId="18">#REF!</definedName>
    <definedName name="___t4" localSheetId="18">#REF!</definedName>
    <definedName name="___t7" localSheetId="18">#REF!</definedName>
    <definedName name="__t4" localSheetId="18">#REF!</definedName>
    <definedName name="__t7" localSheetId="18">#REF!</definedName>
    <definedName name="_1t4_" localSheetId="18">#REF!</definedName>
    <definedName name="_2t7_" localSheetId="18">#REF!</definedName>
    <definedName name="_t4" localSheetId="18">#REF!</definedName>
    <definedName name="_t7" localSheetId="18">#REF!</definedName>
    <definedName name="A" localSheetId="18">#REF!</definedName>
    <definedName name="aa" localSheetId="18">#REF!</definedName>
    <definedName name="ABC" localSheetId="18">#REF!</definedName>
    <definedName name="ABD" localSheetId="18">#REF!</definedName>
    <definedName name="ad" localSheetId="18">#REF!</definedName>
    <definedName name="county" localSheetId="18">#REF!</definedName>
    <definedName name="data" localSheetId="18">#REF!</definedName>
    <definedName name="Database" localSheetId="18">#REF!</definedName>
    <definedName name="database2" localSheetId="18">#REF!</definedName>
    <definedName name="database3" localSheetId="18">#REF!</definedName>
    <definedName name="df" localSheetId="18">#REF!</definedName>
    <definedName name="dsaa" localSheetId="18">#REF!</definedName>
    <definedName name="dw" localSheetId="18">#REF!</definedName>
    <definedName name="E206." localSheetId="18">#REF!</definedName>
    <definedName name="ee" localSheetId="18">#REF!</definedName>
    <definedName name="eee" localSheetId="18">#REF!</definedName>
    <definedName name="fd" localSheetId="18">#REF!</definedName>
    <definedName name="ff" localSheetId="18">#REF!</definedName>
    <definedName name="fff" localSheetId="18">#REF!</definedName>
    <definedName name="fgh" localSheetId="18">#REF!</definedName>
    <definedName name="gf" localSheetId="18">#REF!</definedName>
    <definedName name="hhhh" localSheetId="18">#REF!</definedName>
    <definedName name="jhi" localSheetId="18">#REF!</definedName>
    <definedName name="kkkk" localSheetId="18">#REF!</definedName>
    <definedName name="mj" localSheetId="18">#REF!</definedName>
    <definedName name="Print_Area_MI" localSheetId="18">#REF!</definedName>
    <definedName name="q" localSheetId="18">#REF!</definedName>
    <definedName name="rf" localSheetId="18">#REF!</definedName>
    <definedName name="rrrr" localSheetId="18">#REF!</definedName>
    <definedName name="rt" localSheetId="18">#REF!</definedName>
    <definedName name="rwerwe" localSheetId="18">#REF!</definedName>
    <definedName name="s" localSheetId="18">#REF!</definedName>
    <definedName name="sd" localSheetId="18" hidden="1">#REF!</definedName>
    <definedName name="ss" localSheetId="18">#REF!</definedName>
    <definedName name="tr" localSheetId="18">#REF!</definedName>
    <definedName name="tt" localSheetId="18">#REF!</definedName>
    <definedName name="ttt" localSheetId="18">#REF!</definedName>
    <definedName name="tttt" localSheetId="18">#REF!</definedName>
    <definedName name="uu" localSheetId="18">#REF!</definedName>
    <definedName name="w" localSheetId="18">#REF!</definedName>
    <definedName name="we" localSheetId="18">#REF!</definedName>
    <definedName name="ws" localSheetId="18">#REF!</definedName>
    <definedName name="www" localSheetId="18">#REF!</definedName>
    <definedName name="y" localSheetId="18">#REF!</definedName>
    <definedName name="yyyy" localSheetId="18">#REF!</definedName>
    <definedName name="部" localSheetId="18">#REF!</definedName>
    <definedName name="财政供养" localSheetId="18">#REF!</definedName>
    <definedName name="赤字县图" localSheetId="18">#REF!</definedName>
    <definedName name="处室" localSheetId="18">#REF!</definedName>
    <definedName name="大幅度" localSheetId="18">#REF!</definedName>
    <definedName name="地税" localSheetId="18" hidden="1">#REF!</definedName>
    <definedName name="还有" localSheetId="18">#REF!</definedName>
    <definedName name="汇率" localSheetId="18">#REF!</definedName>
    <definedName name="基金处室" localSheetId="18">#REF!</definedName>
    <definedName name="基金金额" localSheetId="18">#REF!</definedName>
    <definedName name="基金科目" localSheetId="18">#REF!</definedName>
    <definedName name="基金类型" localSheetId="18">#REF!</definedName>
    <definedName name="金额" localSheetId="18">#REF!</definedName>
    <definedName name="科目" localSheetId="18">#REF!</definedName>
    <definedName name="类型" localSheetId="18">#REF!</definedName>
    <definedName name="日" localSheetId="18">#REF!</definedName>
    <definedName name="生产列1" localSheetId="18">#REF!</definedName>
    <definedName name="生产列11" localSheetId="18">#REF!</definedName>
    <definedName name="生产列15" localSheetId="18">#REF!</definedName>
    <definedName name="生产列16" localSheetId="18">#REF!</definedName>
    <definedName name="生产列17" localSheetId="18">#REF!</definedName>
    <definedName name="生产列19" localSheetId="18">#REF!</definedName>
    <definedName name="生产列2" localSheetId="18">#REF!</definedName>
    <definedName name="生产列20" localSheetId="18">#REF!</definedName>
    <definedName name="生产列3" localSheetId="18">#REF!</definedName>
    <definedName name="生产列4" localSheetId="18">#REF!</definedName>
    <definedName name="生产列5" localSheetId="18">#REF!</definedName>
    <definedName name="生产列6" localSheetId="18">#REF!</definedName>
    <definedName name="生产列7" localSheetId="18">#REF!</definedName>
    <definedName name="生产列8" localSheetId="18">#REF!</definedName>
    <definedName name="生产列9" localSheetId="18">#REF!</definedName>
    <definedName name="生产期" localSheetId="18">#REF!</definedName>
    <definedName name="生产期1" localSheetId="18">#REF!</definedName>
    <definedName name="生产期11" localSheetId="18">#REF!</definedName>
    <definedName name="生产期123" localSheetId="18">#REF!</definedName>
    <definedName name="生产期15" localSheetId="18">#REF!</definedName>
    <definedName name="生产期16" localSheetId="18">#REF!</definedName>
    <definedName name="生产期17" localSheetId="18">#REF!</definedName>
    <definedName name="生产期19" localSheetId="18">#REF!</definedName>
    <definedName name="生产期2" localSheetId="18">#REF!</definedName>
    <definedName name="生产期20" localSheetId="18">#REF!</definedName>
    <definedName name="生产期3" localSheetId="18">#REF!</definedName>
    <definedName name="生产期4" localSheetId="18">#REF!</definedName>
    <definedName name="生产期5" localSheetId="18">#REF!</definedName>
    <definedName name="生产期6" localSheetId="18">#REF!</definedName>
    <definedName name="生产期7" localSheetId="18">#REF!</definedName>
    <definedName name="生产期8" localSheetId="18">#REF!</definedName>
    <definedName name="生产期9" localSheetId="18">#REF!</definedName>
    <definedName name="生态区层次明细" localSheetId="18" hidden="1">#REF!</definedName>
    <definedName name="是" localSheetId="18">#REF!</definedName>
    <definedName name="最终下达表" localSheetId="18">#REF!</definedName>
    <definedName name="전" localSheetId="18">#REF!</definedName>
    <definedName name="주택사업본부" localSheetId="18">#REF!</definedName>
    <definedName name="철구사업본부" localSheetId="18">#REF!</definedName>
    <definedName name="_xlnm._FilterDatabase" localSheetId="19" hidden="1">下达表!$A$7:$H$12</definedName>
    <definedName name="Print_Titles" localSheetId="19">下达表!$A:$B,下达表!$4:$6</definedName>
    <definedName name="_xlnm._FilterDatabase" localSheetId="20" hidden="1">'下达表 (带公式表)'!$A$7:$X$168</definedName>
    <definedName name="Print_Titles" localSheetId="20">'下达表 (带公式表)'!$A:$B,'下达表 (带公式表)'!$4:$6</definedName>
    <definedName name="_xlnm._FilterDatabase" localSheetId="21" hidden="1">'分配简表 (2)'!$A$4:$L$183</definedName>
    <definedName name="Print_Titles" localSheetId="21">'分配简表 (2)'!$A:$B,'分配简表 (2)'!$3:$4</definedName>
    <definedName name="_________t4">#REF!</definedName>
    <definedName name="_________t7">#REF!</definedName>
    <definedName name="_____t4">#REF!</definedName>
    <definedName name="_____t7">#REF!</definedName>
    <definedName name="____t4">#REF!</definedName>
    <definedName name="____t7">#REF!</definedName>
    <definedName name="___t4">#REF!</definedName>
    <definedName name="___t7">#REF!</definedName>
    <definedName name="__t4">#REF!</definedName>
    <definedName name="__t7">#REF!</definedName>
    <definedName name="_1t4_">#REF!</definedName>
    <definedName name="_2t7_">#REF!</definedName>
    <definedName name="_Order1" hidden="1">255</definedName>
    <definedName name="_Order2" hidden="1">255</definedName>
    <definedName name="_t4">#REF!</definedName>
    <definedName name="_t7">#REF!</definedName>
    <definedName name="A">#REF!</definedName>
    <definedName name="aa">#REF!</definedName>
    <definedName name="aaaagfdsafsd">#N/A</definedName>
    <definedName name="aas">#N/A</definedName>
    <definedName name="ABC">#REF!</definedName>
    <definedName name="ABD">#REF!</definedName>
    <definedName name="AccessDatabase" hidden="1">"D:\文_件\省长专项\2000省长专项审批.mdb"</definedName>
    <definedName name="ad">#REF!</definedName>
    <definedName name="adasfw">#N/A</definedName>
    <definedName name="addsdsads">#N/A</definedName>
    <definedName name="adsafs">#N/A</definedName>
    <definedName name="adsdsaas">#N/A</definedName>
    <definedName name="adsfafas">#N/A</definedName>
    <definedName name="adsgf">#N/A</definedName>
    <definedName name="agasdgaksdk">#N/A</definedName>
    <definedName name="agsdsawae">#N/A</definedName>
    <definedName name="ajgfdajfajd">#N/A</definedName>
    <definedName name="as">#N/A</definedName>
    <definedName name="asda">#N/A</definedName>
    <definedName name="asdfas">#N/A</definedName>
    <definedName name="asdfasd">#N/A</definedName>
    <definedName name="asdfasf">#N/A</definedName>
    <definedName name="asdfkaskfda">#N/A</definedName>
    <definedName name="asdg\">#N/A</definedName>
    <definedName name="asdga">#N/A</definedName>
    <definedName name="asdgads">#N/A</definedName>
    <definedName name="asdgadsf">#N/A</definedName>
    <definedName name="asdgadsfa">#N/A</definedName>
    <definedName name="asdgas">#N/A</definedName>
    <definedName name="asdgasdfc">#N/A</definedName>
    <definedName name="asdgasfd">#N/A</definedName>
    <definedName name="asdgf">#N/A</definedName>
    <definedName name="asdgfdsafa">#N/A</definedName>
    <definedName name="asdgha">#N/A</definedName>
    <definedName name="asfdfdsfdsg">#N/A</definedName>
    <definedName name="asfdfdw">#N/A</definedName>
    <definedName name="asfsfga">#N/A</definedName>
    <definedName name="asgafaf">#N/A</definedName>
    <definedName name="asgasfda">#N/A</definedName>
    <definedName name="asgasfdaf">#N/A</definedName>
    <definedName name="asgasfdsad">#N/A</definedName>
    <definedName name="asjfda">#N/A</definedName>
    <definedName name="b">#N/A</definedName>
    <definedName name="county">#REF!</definedName>
    <definedName name="d">#N/A</definedName>
    <definedName name="da">#N/A</definedName>
    <definedName name="dadaf">#N/A</definedName>
    <definedName name="dads">#N/A</definedName>
    <definedName name="daggaga">#N/A</definedName>
    <definedName name="dasadfw">#N/A</definedName>
    <definedName name="dasdfasd">#N/A</definedName>
    <definedName name="dasfaxc">#N/A</definedName>
    <definedName name="dasfqw">#N/A</definedName>
    <definedName name="data">#REF!</definedName>
    <definedName name="Database">#REF!</definedName>
    <definedName name="database2">#REF!</definedName>
    <definedName name="database3">#REF!</definedName>
    <definedName name="dd">#N/A</definedName>
    <definedName name="ddad">#N/A</definedName>
    <definedName name="ddagagsgdsa">#N/A</definedName>
    <definedName name="dddsaga">#N/A</definedName>
    <definedName name="dddsagsa">#N/A</definedName>
    <definedName name="ddsadafs">#N/A</definedName>
    <definedName name="ddsass">#N/A</definedName>
    <definedName name="ddydhg">#N/A</definedName>
    <definedName name="df">#REF!</definedName>
    <definedName name="dfadfsfds">#N/A</definedName>
    <definedName name="dfadsaf">#N/A</definedName>
    <definedName name="dfadsas">#N/A</definedName>
    <definedName name="dfasfw">#N/A</definedName>
    <definedName name="dfasggasf">#N/A</definedName>
    <definedName name="dfaxc">#N/A</definedName>
    <definedName name="dfgh">#N/A</definedName>
    <definedName name="dfghdhj">#N/A</definedName>
    <definedName name="dfgsdf">#N/A</definedName>
    <definedName name="dfh">#N/A</definedName>
    <definedName name="dfhgkj">#N/A</definedName>
    <definedName name="dfj">#N/A</definedName>
    <definedName name="dfjajsfd">#N/A</definedName>
    <definedName name="dfwaa">#N/A</definedName>
    <definedName name="dgadsfd">#N/A</definedName>
    <definedName name="dgafk">#N/A</definedName>
    <definedName name="dgafsj">#N/A</definedName>
    <definedName name="dgah">#N/A</definedName>
    <definedName name="dgasdfa">#N/A</definedName>
    <definedName name="dgasdhf">#N/A</definedName>
    <definedName name="dgh">#N/A</definedName>
    <definedName name="dghadfha">#N/A</definedName>
    <definedName name="dghadhf">#N/A</definedName>
    <definedName name="dgkgfkdsafka">#N/A</definedName>
    <definedName name="dh">#N/A</definedName>
    <definedName name="dj">#N/A</definedName>
    <definedName name="djfadsjf">#N/A</definedName>
    <definedName name="djfajdsf">#N/A</definedName>
    <definedName name="djfajdsfj">#N/A</definedName>
    <definedName name="djfjadsfja">#N/A</definedName>
    <definedName name="djfjadsjfw">#N/A</definedName>
    <definedName name="djfjdafjas">#N/A</definedName>
    <definedName name="djfjdafsja">#N/A</definedName>
    <definedName name="djfjdsafjs">#N/A</definedName>
    <definedName name="djfjdsaj">#N/A</definedName>
    <definedName name="djjdjjd">#N/A</definedName>
    <definedName name="djjjafjas">#N/A</definedName>
    <definedName name="djllfjasfd">#N/A</definedName>
    <definedName name="drafd">#N/A</definedName>
    <definedName name="dsaa">#REF!</definedName>
    <definedName name="dsaasagf">#N/A</definedName>
    <definedName name="dsadsadsa">#N/A</definedName>
    <definedName name="dsadsafag">#N/A</definedName>
    <definedName name="dsadshf">#N/A</definedName>
    <definedName name="dsafads">#N/A</definedName>
    <definedName name="dsafdfdgas">#N/A</definedName>
    <definedName name="dsafdfdsfds">#N/A</definedName>
    <definedName name="dsafdsafdsa">#N/A</definedName>
    <definedName name="dsaffdsa">#N/A</definedName>
    <definedName name="dsagads">#N/A</definedName>
    <definedName name="dsagagw">#N/A</definedName>
    <definedName name="dsagas">#N/A</definedName>
    <definedName name="dsagasfwq">#N/A</definedName>
    <definedName name="dsagfw">#N/A</definedName>
    <definedName name="dsagqf">#N/A</definedName>
    <definedName name="dsccc">#N/A</definedName>
    <definedName name="dsdaa">#N/A</definedName>
    <definedName name="dsdsaddsa">#N/A</definedName>
    <definedName name="dsdsagggf">#N/A</definedName>
    <definedName name="dsfacx">#N/A</definedName>
    <definedName name="dsfag">#N/A</definedName>
    <definedName name="dsfasf">#N/A</definedName>
    <definedName name="dsfdcc">#N/A</definedName>
    <definedName name="dsfdsaga">#N/A</definedName>
    <definedName name="dsffadsgad">#N/A</definedName>
    <definedName name="dsffdsafdas">#N/A</definedName>
    <definedName name="dsfggsa">#N/A</definedName>
    <definedName name="dsfgh">#N/A</definedName>
    <definedName name="dsfgs">#N/A</definedName>
    <definedName name="dsfkadskf">#N/A</definedName>
    <definedName name="dsfwfxx">#N/A</definedName>
    <definedName name="dsgadsfa">#N/A</definedName>
    <definedName name="dsgafsafd">#N/A</definedName>
    <definedName name="dsgagas">#N/A</definedName>
    <definedName name="dsgasdf">#N/A</definedName>
    <definedName name="dsgdas">#N/A</definedName>
    <definedName name="dsgdsagfdsag">#N/A</definedName>
    <definedName name="dsggasfd">#N/A</definedName>
    <definedName name="dsggassddd">#N/A</definedName>
    <definedName name="dsgh">#N/A</definedName>
    <definedName name="dsjgakdsf">#N/A</definedName>
    <definedName name="dssasaww">#N/A</definedName>
    <definedName name="dw">#REF!</definedName>
    <definedName name="e">#N/A</definedName>
    <definedName name="E206.">#REF!</definedName>
    <definedName name="ee">#REF!</definedName>
    <definedName name="eee">#REF!</definedName>
    <definedName name="f">#N/A</definedName>
    <definedName name="fd">#REF!</definedName>
    <definedName name="fdsafdsafdsa">#N/A</definedName>
    <definedName name="fdsafdsafdsfdsa">#N/A</definedName>
    <definedName name="fdsafdsfdsafdsa">#N/A</definedName>
    <definedName name="fdsfdsafdcdx">#N/A</definedName>
    <definedName name="fdsfdsafdfdsa">#N/A</definedName>
    <definedName name="ff">#REF!</definedName>
    <definedName name="ffdfdsaafds">#N/A</definedName>
    <definedName name="fff">#REF!</definedName>
    <definedName name="fg">#N/A</definedName>
    <definedName name="fgdh">#N/A</definedName>
    <definedName name="fgh">#REF!</definedName>
    <definedName name="fgj">#N/A</definedName>
    <definedName name="fgjd">#N/A</definedName>
    <definedName name="fgjk">#N/A</definedName>
    <definedName name="fhdjk">#N/A</definedName>
    <definedName name="fjafjs">#N/A</definedName>
    <definedName name="fjajsfdja">#N/A</definedName>
    <definedName name="fjdajsdjfa">#N/A</definedName>
    <definedName name="fjjafsjaj">#N/A</definedName>
    <definedName name="fjk">#N/A</definedName>
    <definedName name="fsa">#N/A</definedName>
    <definedName name="fsafffdsfdsa">#N/A</definedName>
    <definedName name="fsafsdfdsa">#N/A</definedName>
    <definedName name="g">#N/A</definedName>
    <definedName name="gadsfawe">#N/A</definedName>
    <definedName name="gafsafas">#N/A</definedName>
    <definedName name="gagssd">#N/A</definedName>
    <definedName name="gasdgfasgas">#N/A</definedName>
    <definedName name="gf">#REF!</definedName>
    <definedName name="gfagajfas">#N/A</definedName>
    <definedName name="gfh">#N/A</definedName>
    <definedName name="ggasfdasf">#N/A</definedName>
    <definedName name="gggg">#N/A</definedName>
    <definedName name="ggggggggg">#N/A</definedName>
    <definedName name="gh">#N/A</definedName>
    <definedName name="ghjk">#N/A</definedName>
    <definedName name="ghk">#N/A</definedName>
    <definedName name="gj">#N/A</definedName>
    <definedName name="gjhk">#N/A</definedName>
    <definedName name="gjk">#N/A</definedName>
    <definedName name="gjklh">#N/A</definedName>
    <definedName name="h">#N/A</definedName>
    <definedName name="hdfgh">#N/A</definedName>
    <definedName name="hg">#N/A</definedName>
    <definedName name="hgfh">#N/A</definedName>
    <definedName name="hgj">#N/A</definedName>
    <definedName name="hhfk">#N/A</definedName>
    <definedName name="hhhh">#REF!</definedName>
    <definedName name="hj">#N/A</definedName>
    <definedName name="hjhgj">#N/A</definedName>
    <definedName name="hjk">#N/A</definedName>
    <definedName name="hjkjhl">#N/A</definedName>
    <definedName name="hjkl">#N/A</definedName>
    <definedName name="hkjfgkjhkhj">#N/A</definedName>
    <definedName name="HWSheet">1</definedName>
    <definedName name="i">#N/A</definedName>
    <definedName name="j">#N/A</definedName>
    <definedName name="jdfajsfdj">#N/A</definedName>
    <definedName name="jdjfadsjf">#N/A</definedName>
    <definedName name="jgh">#N/A</definedName>
    <definedName name="jhgj">#N/A</definedName>
    <definedName name="jhi">#REF!</definedName>
    <definedName name="jhkf">#N/A</definedName>
    <definedName name="jhkljl">#N/A</definedName>
    <definedName name="jjgajsdfjasd">#N/A</definedName>
    <definedName name="jjjjj">#N/A</definedName>
    <definedName name="jk">#N/A</definedName>
    <definedName name="jl">#N/A</definedName>
    <definedName name="jmjkhjkl">#N/A</definedName>
    <definedName name="k">#N/A</definedName>
    <definedName name="kdfkasj">#N/A</definedName>
    <definedName name="kg">#N/A</definedName>
    <definedName name="kgak">#N/A</definedName>
    <definedName name="kjhljk">#N/A</definedName>
    <definedName name="kjhluyi">#N/A</definedName>
    <definedName name="kjlhj">#N/A</definedName>
    <definedName name="kkkk">#REF!</definedName>
    <definedName name="l">#N/A</definedName>
    <definedName name="lkghjk">#N/A</definedName>
    <definedName name="lkjhh">#N/A</definedName>
    <definedName name="luil">#N/A</definedName>
    <definedName name="mj">#REF!</definedName>
    <definedName name="Module.Prix_SMC">#N/A</definedName>
    <definedName name="Print_Area">#N/A</definedName>
    <definedName name="Print_Area_MI">#REF!</definedName>
    <definedName name="Prix_SMC">#N/A</definedName>
    <definedName name="q">#REF!</definedName>
    <definedName name="rf">#REF!</definedName>
    <definedName name="rrrr">#REF!</definedName>
    <definedName name="rt">#REF!</definedName>
    <definedName name="rwerwe">#REF!</definedName>
    <definedName name="s">#REF!</definedName>
    <definedName name="saagasf">#N/A</definedName>
    <definedName name="sadfaffdas">#N/A</definedName>
    <definedName name="sadfas">#N/A</definedName>
    <definedName name="sadfasdf">#N/A</definedName>
    <definedName name="sadfasfw">#N/A</definedName>
    <definedName name="sadffdag">#N/A</definedName>
    <definedName name="sadfx">#N/A</definedName>
    <definedName name="sadgafasdd">#N/A</definedName>
    <definedName name="sadgafasfd">#N/A</definedName>
    <definedName name="sadgafsdwa">#N/A</definedName>
    <definedName name="sadgasdfa">#N/A</definedName>
    <definedName name="sadgasfdwad">#N/A</definedName>
    <definedName name="sadgfsafda">#N/A</definedName>
    <definedName name="sadjfajfds">#N/A</definedName>
    <definedName name="sadsaga">#N/A</definedName>
    <definedName name="safdafsd">#N/A</definedName>
    <definedName name="saffdsafdsafds">#N/A</definedName>
    <definedName name="sagadfx">#N/A</definedName>
    <definedName name="sagafafd">#N/A</definedName>
    <definedName name="sagasdfasdf">#N/A</definedName>
    <definedName name="sd" hidden="1">#REF!</definedName>
    <definedName name="sdafg">#N/A</definedName>
    <definedName name="sdasqw">#N/A</definedName>
    <definedName name="sdd">#N/A</definedName>
    <definedName name="sddfsadgas">#N/A</definedName>
    <definedName name="sdfadsfxf">#N/A</definedName>
    <definedName name="sdfas">#N/A</definedName>
    <definedName name="sdfascx">#N/A</definedName>
    <definedName name="sdfasdg">#N/A</definedName>
    <definedName name="sdfasdgas">#N/A</definedName>
    <definedName name="sdfasfdaga">#N/A</definedName>
    <definedName name="sdfdasdf">#N/A</definedName>
    <definedName name="sdfg">#N/A</definedName>
    <definedName name="sdfgs">#N/A</definedName>
    <definedName name="sdfkasfka">#N/A</definedName>
    <definedName name="sdfsdafaw">#N/A</definedName>
    <definedName name="sdfw">#N/A</definedName>
    <definedName name="sdfwsa">#N/A</definedName>
    <definedName name="sdgaasd">#N/A</definedName>
    <definedName name="sdgadsfasf">#N/A</definedName>
    <definedName name="sdgafs">#N/A</definedName>
    <definedName name="sdgasd">#N/A</definedName>
    <definedName name="sdgasdf">#N/A</definedName>
    <definedName name="sdgasdfasfd">#N/A</definedName>
    <definedName name="sdgasfa">#N/A</definedName>
    <definedName name="sdgdaga">#N/A</definedName>
    <definedName name="sdgdasfasdf">#N/A</definedName>
    <definedName name="sdgfdf">#N/A</definedName>
    <definedName name="sdgfw">#N/A</definedName>
    <definedName name="sdsaaa">#N/A</definedName>
    <definedName name="sdsfccxxx">#N/A</definedName>
    <definedName name="sfdg">#N/A</definedName>
    <definedName name="sfdsafdfdsa">#N/A</definedName>
    <definedName name="sfdsafdsaafds">#N/A</definedName>
    <definedName name="sfsadd">#N/A</definedName>
    <definedName name="sgafax">#N/A</definedName>
    <definedName name="sgafwa">#N/A</definedName>
    <definedName name="sgasdfasd">#N/A</definedName>
    <definedName name="sgasdfwf">#N/A</definedName>
    <definedName name="sgasfwa">#N/A</definedName>
    <definedName name="sgasgda">#N/A</definedName>
    <definedName name="sgdadsfwd">#N/A</definedName>
    <definedName name="sgdfg">#N/A</definedName>
    <definedName name="sgdh">#N/A</definedName>
    <definedName name="shgd">#N/A</definedName>
    <definedName name="ss">#REF!</definedName>
    <definedName name="ssfafag">#N/A</definedName>
    <definedName name="TableName">"Dummy"</definedName>
    <definedName name="tr">#REF!</definedName>
    <definedName name="try">#N/A</definedName>
    <definedName name="tt">#REF!</definedName>
    <definedName name="ttt">#REF!</definedName>
    <definedName name="tttt">#REF!</definedName>
    <definedName name="uu">#REF!</definedName>
    <definedName name="uyi">#N/A</definedName>
    <definedName name="w">#REF!</definedName>
    <definedName name="we">#REF!</definedName>
    <definedName name="ws">#REF!</definedName>
    <definedName name="www">#REF!</definedName>
    <definedName name="y">#REF!</definedName>
    <definedName name="yyyy">#REF!</definedName>
    <definedName name="部">#REF!</definedName>
    <definedName name="财政供养">#REF!</definedName>
    <definedName name="赤字县图">#REF!</definedName>
    <definedName name="处室">#REF!</definedName>
    <definedName name="大幅度">#REF!</definedName>
    <definedName name="地税" hidden="1">#REF!</definedName>
    <definedName name="还有">#REF!</definedName>
    <definedName name="汇率">#REF!</definedName>
    <definedName name="基金处室">#REF!</definedName>
    <definedName name="基金金额">#REF!</definedName>
    <definedName name="基金科目">#REF!</definedName>
    <definedName name="基金类型">#REF!</definedName>
    <definedName name="金额">#REF!</definedName>
    <definedName name="科目">#REF!</definedName>
    <definedName name="类型">#REF!</definedName>
    <definedName name="日">#REF!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生态区层次明细" hidden="1">#REF!</definedName>
    <definedName name="是">#REF!</definedName>
    <definedName name="最终下达表">#REF!</definedName>
    <definedName name="전">#REF!</definedName>
    <definedName name="주택사업본부">#REF!</definedName>
    <definedName name="철구사업본부">#REF!</definedName>
    <definedName name="_xlnm._FilterDatabase" localSheetId="0" hidden="1">'1.20'!$A$1:$AT$194</definedName>
    <definedName name="_xlnm._FilterDatabase" localSheetId="1" hidden="1">表6资金使用成效（12月30日）!$A$2:$L$126</definedName>
    <definedName name="_xlnm._FilterDatabase" localSheetId="3" hidden="1">乡村振兴局测算11.11!$A$9:$BR$194</definedName>
    <definedName name="_xlnm._FilterDatabase" localSheetId="8" hidden="1">综合进度表!$A$3:$O$277</definedName>
    <definedName name="_xlnm._FilterDatabase" localSheetId="13" hidden="1">财政调整3!$A$17:$BG$194</definedName>
    <definedName name="_xlnm._FilterDatabase" localSheetId="14" hidden="1">综合进度!$5:$167</definedName>
    <definedName name="_xlnm._FilterDatabase" localSheetId="16" hidden="1">'12.29（补差过程）'!$A$9:$BH$194</definedName>
    <definedName name="_xlnm._FilterDatabase" localSheetId="18" hidden="1">项目库建设情况!$A$3:$L$149</definedName>
    <definedName name="_xlnm._FilterDatabase" localSheetId="20" hidden="1">'下达表 (带公式表)'!$A$7:$X$168</definedName>
    <definedName name="_xlnm._FilterDatabase" localSheetId="21" hidden="1">'分配简表 (2)'!$A$4:$L$183</definedName>
  </definedNames>
  <calcPr concurrentCalc="0"/>
</workbook>
</file>

<file path=xl/sharedStrings.xml><?xml version="1.0" encoding="utf-8"?>
<sst xmlns="http://schemas.openxmlformats.org/spreadsheetml/2006/main" count="1617" uniqueCount="1617">
  <si>
    <t>附件</t>
  </si>
  <si>
    <t xml:space="preserve">                          2022年省级财政衔接推进乡村振兴补助资金提前下达测算分配表</t>
  </si>
  <si>
    <t>单位：万元</t>
  </si>
  <si>
    <t>序号</t>
  </si>
  <si>
    <t>地区</t>
  </si>
  <si>
    <t>原贫困县标识</t>
  </si>
  <si>
    <t>脱贫年度</t>
  </si>
  <si>
    <t>乡村振兴重点帮扶县</t>
  </si>
  <si>
    <t>边境县</t>
  </si>
  <si>
    <t>2021年全年下达数</t>
  </si>
  <si>
    <t>2021年全年下达数按同口径折算</t>
  </si>
  <si>
    <t>因素1.相关人群数量及结构</t>
  </si>
  <si>
    <t>因素2.相关人群收入（权重15%）</t>
  </si>
  <si>
    <t>因素3.政策因素（权重50%）</t>
  </si>
  <si>
    <t>因素4.绩效管理因素（权重5%）</t>
  </si>
  <si>
    <t>本次测算安排情况</t>
  </si>
  <si>
    <t>（隐藏）较2021年增减金额</t>
  </si>
  <si>
    <t>（隐藏）较2021年增减比例</t>
  </si>
  <si>
    <t>较等比例压缩后的2021年下达数增减金额</t>
  </si>
  <si>
    <t>较等比例压缩后的2021年下达数增减比例</t>
  </si>
  <si>
    <t>脱贫人口规模（人）（20%）</t>
  </si>
  <si>
    <t>防反贫监测人口规模（人）（5%）</t>
  </si>
  <si>
    <t>易地扶贫搬迁贫困人口规模（人）（5%）</t>
  </si>
  <si>
    <t>测算分配金额</t>
  </si>
  <si>
    <t>脱贫人口合计</t>
  </si>
  <si>
    <t>按脱贫年度结构折算</t>
  </si>
  <si>
    <t>易地扶贫搬迁贫困人口合计</t>
  </si>
  <si>
    <t>按人口规模折算</t>
  </si>
  <si>
    <t>2020年农村常住居民人均可支配收入（元）</t>
  </si>
  <si>
    <t>按加权平均法换算</t>
  </si>
  <si>
    <t>边境小康村（40%）</t>
  </si>
  <si>
    <t>国家和省级乡村振兴重点帮扶县（8%）</t>
  </si>
  <si>
    <t>乡村建设示范点(4%)</t>
  </si>
  <si>
    <t>受灾因素（2%）</t>
  </si>
  <si>
    <t>支出进度（2.5%）</t>
  </si>
  <si>
    <t>绩效评价（2.5%）</t>
  </si>
  <si>
    <t>折算后小计</t>
  </si>
  <si>
    <t>非贫困县（按0.2比例折算）</t>
  </si>
  <si>
    <t>2017年（按0.4比例折算）</t>
  </si>
  <si>
    <t>2018年（按0.6比例折算）</t>
  </si>
  <si>
    <t>2019年（按0.8比例折算）</t>
  </si>
  <si>
    <t>2020年（按1比例折算）</t>
  </si>
  <si>
    <t>800人以下安置区贫困人口（按0.4比例折算）</t>
  </si>
  <si>
    <t>800-3000人的大型安置区贫困人口（按0.6比例折算）</t>
  </si>
  <si>
    <t>3000-10000人的特大型安置区贫困人口（按0.8比例折算）</t>
  </si>
  <si>
    <t>10000人以上的超大型安置区贫困人口（按1比例折算）</t>
  </si>
  <si>
    <t>抵边村个数</t>
  </si>
  <si>
    <t>缺口金额</t>
  </si>
  <si>
    <t>折算人口数</t>
  </si>
  <si>
    <t>国家和省级乡村振兴重点帮扶县按不低于2021年同口径补足</t>
  </si>
  <si>
    <t>按折算人口数因素测算分配金额</t>
  </si>
  <si>
    <t>村个数</t>
  </si>
  <si>
    <t>定额安排漾濞地震2000万元、德宏州疫情2000万元、宁蒗地震1000万元</t>
  </si>
  <si>
    <t>截至12月30日支出进度</t>
  </si>
  <si>
    <t>得分</t>
  </si>
  <si>
    <t>全省合计</t>
  </si>
  <si>
    <t>云南省本级</t>
  </si>
  <si>
    <t>五华区</t>
  </si>
  <si>
    <t>州市本级合计</t>
  </si>
  <si>
    <t>盘龙区</t>
  </si>
  <si>
    <t>88个县合计</t>
  </si>
  <si>
    <t>官渡区</t>
  </si>
  <si>
    <t>41个县合计</t>
  </si>
  <si>
    <t>西山区</t>
  </si>
  <si>
    <t>57个县合计</t>
  </si>
  <si>
    <t>东川区</t>
  </si>
  <si>
    <t>27个县合计</t>
  </si>
  <si>
    <t>呈贡区</t>
  </si>
  <si>
    <t>30个县合计</t>
  </si>
  <si>
    <t>晋宁区</t>
  </si>
  <si>
    <t>25个县合计</t>
  </si>
  <si>
    <t>富民县</t>
  </si>
  <si>
    <t>昆明市合计</t>
  </si>
  <si>
    <t>宜良县</t>
  </si>
  <si>
    <t>昆明市本级</t>
  </si>
  <si>
    <t>石林县</t>
  </si>
  <si>
    <t>县级小计</t>
  </si>
  <si>
    <t>嵩明县</t>
  </si>
  <si>
    <t>非贫困县</t>
  </si>
  <si>
    <t>禄劝县</t>
  </si>
  <si>
    <t>寻甸县</t>
  </si>
  <si>
    <t>安宁市</t>
  </si>
  <si>
    <t>昭通市合计</t>
  </si>
  <si>
    <t>昭通市本级</t>
  </si>
  <si>
    <t>昭阳区</t>
  </si>
  <si>
    <t>鲁甸县</t>
  </si>
  <si>
    <t>巧家县</t>
  </si>
  <si>
    <t>盐津县</t>
  </si>
  <si>
    <t>大关县</t>
  </si>
  <si>
    <t>永善县</t>
  </si>
  <si>
    <t>贫困</t>
  </si>
  <si>
    <t>省级</t>
  </si>
  <si>
    <t>绥江县</t>
  </si>
  <si>
    <t>深度贫困</t>
  </si>
  <si>
    <t>国家</t>
  </si>
  <si>
    <t>镇雄县</t>
  </si>
  <si>
    <t>彝良县</t>
  </si>
  <si>
    <t>威信县</t>
  </si>
  <si>
    <t>水富市</t>
  </si>
  <si>
    <t>曲靖市合计</t>
  </si>
  <si>
    <t>曲靖市本级</t>
  </si>
  <si>
    <t>麒麟区</t>
  </si>
  <si>
    <t>马龙区</t>
  </si>
  <si>
    <t>陆良县</t>
  </si>
  <si>
    <t>师宗县</t>
  </si>
  <si>
    <t>罗平县</t>
  </si>
  <si>
    <t>富源县</t>
  </si>
  <si>
    <t>会泽县</t>
  </si>
  <si>
    <t>沾益区</t>
  </si>
  <si>
    <t>宣威市</t>
  </si>
  <si>
    <t>玉溪市合计</t>
  </si>
  <si>
    <t>玉溪市本级</t>
  </si>
  <si>
    <t>红塔区</t>
  </si>
  <si>
    <t>江川区</t>
  </si>
  <si>
    <t>澄江市</t>
  </si>
  <si>
    <t>通海县</t>
  </si>
  <si>
    <t>华宁县</t>
  </si>
  <si>
    <t>易门县</t>
  </si>
  <si>
    <t>峨山县</t>
  </si>
  <si>
    <t>新平县</t>
  </si>
  <si>
    <t>元江县</t>
  </si>
  <si>
    <t>红河州合计</t>
  </si>
  <si>
    <t>红河州本级</t>
  </si>
  <si>
    <t>个旧市</t>
  </si>
  <si>
    <t>开远市</t>
  </si>
  <si>
    <t>蒙自市</t>
  </si>
  <si>
    <t>屏边县</t>
  </si>
  <si>
    <t>建水县</t>
  </si>
  <si>
    <t>石屏县</t>
  </si>
  <si>
    <t>弥勒市</t>
  </si>
  <si>
    <t>泸西县</t>
  </si>
  <si>
    <t>元阳县</t>
  </si>
  <si>
    <t>红河县</t>
  </si>
  <si>
    <t>金平县</t>
  </si>
  <si>
    <t>绿春县</t>
  </si>
  <si>
    <t>河口县</t>
  </si>
  <si>
    <t>文山州合计</t>
  </si>
  <si>
    <t>文山州本级</t>
  </si>
  <si>
    <t>文山市</t>
  </si>
  <si>
    <t>砚山县</t>
  </si>
  <si>
    <t>西畴县</t>
  </si>
  <si>
    <t>麻栗坡县</t>
  </si>
  <si>
    <t>马关县</t>
  </si>
  <si>
    <t>丘北县</t>
  </si>
  <si>
    <t>广南县</t>
  </si>
  <si>
    <t>富宁县</t>
  </si>
  <si>
    <t>是</t>
  </si>
  <si>
    <t>普洱市合计</t>
  </si>
  <si>
    <t>普洱市本级</t>
  </si>
  <si>
    <t>思茅区</t>
  </si>
  <si>
    <t>宁洱县</t>
  </si>
  <si>
    <t>墨江县</t>
  </si>
  <si>
    <t>景东县</t>
  </si>
  <si>
    <t>景谷县</t>
  </si>
  <si>
    <t>镇沅县</t>
  </si>
  <si>
    <t>江城县</t>
  </si>
  <si>
    <t>孟连县</t>
  </si>
  <si>
    <t>澜沧县</t>
  </si>
  <si>
    <t>西盟县</t>
  </si>
  <si>
    <t>西双版纳州合计</t>
  </si>
  <si>
    <t>西双版纳州本级</t>
  </si>
  <si>
    <t>景洪市</t>
  </si>
  <si>
    <t>勐海县</t>
  </si>
  <si>
    <t>勐腊县</t>
  </si>
  <si>
    <t>楚雄州合计</t>
  </si>
  <si>
    <t>楚雄州本级</t>
  </si>
  <si>
    <t>楚雄市</t>
  </si>
  <si>
    <t>双柏县</t>
  </si>
  <si>
    <t>牟定县</t>
  </si>
  <si>
    <t>南华县</t>
  </si>
  <si>
    <t>姚安县</t>
  </si>
  <si>
    <t>大姚县</t>
  </si>
  <si>
    <t>永仁县</t>
  </si>
  <si>
    <t>元谋县</t>
  </si>
  <si>
    <t>武定县</t>
  </si>
  <si>
    <t>禄丰市</t>
  </si>
  <si>
    <t>大理州合计</t>
  </si>
  <si>
    <t>大理州本级</t>
  </si>
  <si>
    <t>大理市</t>
  </si>
  <si>
    <t>漾濞县</t>
  </si>
  <si>
    <t>祥云县</t>
  </si>
  <si>
    <t>宾川县</t>
  </si>
  <si>
    <t>弥渡县</t>
  </si>
  <si>
    <t>南涧县</t>
  </si>
  <si>
    <t>巍山县</t>
  </si>
  <si>
    <t>永平县</t>
  </si>
  <si>
    <t>云龙县</t>
  </si>
  <si>
    <t>洱源县</t>
  </si>
  <si>
    <t>剑川县</t>
  </si>
  <si>
    <t>鹤庆县</t>
  </si>
  <si>
    <t>保山市合计</t>
  </si>
  <si>
    <t>保山市本级</t>
  </si>
  <si>
    <t>隆阳区</t>
  </si>
  <si>
    <t>施甸县</t>
  </si>
  <si>
    <t>腾冲市</t>
  </si>
  <si>
    <t>龙陵县</t>
  </si>
  <si>
    <t>昌宁县</t>
  </si>
  <si>
    <t>德宏州合计</t>
  </si>
  <si>
    <t>德宏州本级</t>
  </si>
  <si>
    <t>瑞丽市</t>
  </si>
  <si>
    <t>芒市</t>
  </si>
  <si>
    <t>梁河县</t>
  </si>
  <si>
    <t>盈江县</t>
  </si>
  <si>
    <t>陇川县</t>
  </si>
  <si>
    <t>丽江市合计</t>
  </si>
  <si>
    <t>丽江市本级</t>
  </si>
  <si>
    <t>古城区</t>
  </si>
  <si>
    <t>玉龙县</t>
  </si>
  <si>
    <t>永胜县</t>
  </si>
  <si>
    <t>华坪县</t>
  </si>
  <si>
    <t>宁蒗县</t>
  </si>
  <si>
    <t>怒江州合计</t>
  </si>
  <si>
    <t>怒江州本级</t>
  </si>
  <si>
    <t>泸水市</t>
  </si>
  <si>
    <t>福贡县</t>
  </si>
  <si>
    <t>贡山县</t>
  </si>
  <si>
    <t>兰坪县</t>
  </si>
  <si>
    <t>迪庆州合计</t>
  </si>
  <si>
    <t>迪庆州本级</t>
  </si>
  <si>
    <t>香格里拉市</t>
  </si>
  <si>
    <t>德钦县</t>
  </si>
  <si>
    <t>维西县</t>
  </si>
  <si>
    <t>临沧市合计</t>
  </si>
  <si>
    <t>临沧市本级</t>
  </si>
  <si>
    <t>临翔区</t>
  </si>
  <si>
    <t>凤庆县</t>
  </si>
  <si>
    <t>云县</t>
  </si>
  <si>
    <t>永德县</t>
  </si>
  <si>
    <t>镇康县</t>
  </si>
  <si>
    <t>双江县</t>
  </si>
  <si>
    <t>耿马县</t>
  </si>
  <si>
    <t>沧源县</t>
  </si>
  <si>
    <t>（三）使用成效指标8.预算执行率</t>
  </si>
  <si>
    <t/>
  </si>
  <si>
    <t>级次</t>
  </si>
  <si>
    <t xml:space="preserve">考核年度结转结余的财政衔接
资金数之和（万元）</t>
  </si>
  <si>
    <t>2019年度及以前</t>
  </si>
  <si>
    <t>2020年度</t>
  </si>
  <si>
    <t>2021年度</t>
  </si>
  <si>
    <t>资金总额</t>
  </si>
  <si>
    <t>中央资金</t>
  </si>
  <si>
    <t>省级资金</t>
  </si>
  <si>
    <t>市级资金</t>
  </si>
  <si>
    <t>县级资金</t>
  </si>
  <si>
    <t>进度</t>
  </si>
  <si>
    <t>1</t>
  </si>
  <si>
    <t>10</t>
  </si>
  <si>
    <t>100</t>
  </si>
  <si>
    <t>101</t>
  </si>
  <si>
    <t>102</t>
  </si>
  <si>
    <t>103</t>
  </si>
  <si>
    <t>104</t>
  </si>
  <si>
    <t>105</t>
  </si>
  <si>
    <t>106</t>
  </si>
  <si>
    <t>107</t>
  </si>
  <si>
    <t>108</t>
  </si>
  <si>
    <t>109</t>
  </si>
  <si>
    <t>11</t>
  </si>
  <si>
    <t>110</t>
  </si>
  <si>
    <t>111</t>
  </si>
  <si>
    <t>112</t>
  </si>
  <si>
    <t>113</t>
  </si>
  <si>
    <t>114</t>
  </si>
  <si>
    <t>115</t>
  </si>
  <si>
    <t>116</t>
  </si>
  <si>
    <t>117</t>
  </si>
  <si>
    <t>118</t>
  </si>
  <si>
    <t>119</t>
  </si>
  <si>
    <t>12</t>
  </si>
  <si>
    <t>120</t>
  </si>
  <si>
    <t>121</t>
  </si>
  <si>
    <t>122</t>
  </si>
  <si>
    <t>123</t>
  </si>
  <si>
    <t>124</t>
  </si>
  <si>
    <t>13</t>
  </si>
  <si>
    <t>14</t>
  </si>
  <si>
    <t>15</t>
  </si>
  <si>
    <t>16</t>
  </si>
  <si>
    <t>17</t>
  </si>
  <si>
    <t>18</t>
  </si>
  <si>
    <t>19</t>
  </si>
  <si>
    <t>2</t>
  </si>
  <si>
    <t>20</t>
  </si>
  <si>
    <t>21</t>
  </si>
  <si>
    <t>22</t>
  </si>
  <si>
    <t>23</t>
  </si>
  <si>
    <t>24</t>
  </si>
  <si>
    <t>25</t>
  </si>
  <si>
    <t>26</t>
  </si>
  <si>
    <t>27</t>
  </si>
  <si>
    <t>28</t>
  </si>
  <si>
    <t>29</t>
  </si>
  <si>
    <t>3</t>
  </si>
  <si>
    <t>30</t>
  </si>
  <si>
    <t>31</t>
  </si>
  <si>
    <t>32</t>
  </si>
  <si>
    <t>33</t>
  </si>
  <si>
    <t>34</t>
  </si>
  <si>
    <t>35</t>
  </si>
  <si>
    <t>36</t>
  </si>
  <si>
    <t>37</t>
  </si>
  <si>
    <t>38</t>
  </si>
  <si>
    <t>39</t>
  </si>
  <si>
    <t>4</t>
  </si>
  <si>
    <t>40</t>
  </si>
  <si>
    <t>41</t>
  </si>
  <si>
    <t>42</t>
  </si>
  <si>
    <t>43</t>
  </si>
  <si>
    <t>44</t>
  </si>
  <si>
    <t>45</t>
  </si>
  <si>
    <t>46</t>
  </si>
  <si>
    <t>47</t>
  </si>
  <si>
    <t>48</t>
  </si>
  <si>
    <t>49</t>
  </si>
  <si>
    <t>5</t>
  </si>
  <si>
    <t>50</t>
  </si>
  <si>
    <t>51</t>
  </si>
  <si>
    <t>52</t>
  </si>
  <si>
    <t>53</t>
  </si>
  <si>
    <t>54</t>
  </si>
  <si>
    <t>55</t>
  </si>
  <si>
    <t>56</t>
  </si>
  <si>
    <t>57</t>
  </si>
  <si>
    <t>58</t>
  </si>
  <si>
    <t>59</t>
  </si>
  <si>
    <t>6</t>
  </si>
  <si>
    <t>60</t>
  </si>
  <si>
    <t>61</t>
  </si>
  <si>
    <t>62</t>
  </si>
  <si>
    <t>63</t>
  </si>
  <si>
    <t>64</t>
  </si>
  <si>
    <t>65</t>
  </si>
  <si>
    <t>66</t>
  </si>
  <si>
    <t>67</t>
  </si>
  <si>
    <t>68</t>
  </si>
  <si>
    <t>69</t>
  </si>
  <si>
    <t>7</t>
  </si>
  <si>
    <t>70</t>
  </si>
  <si>
    <t>71</t>
  </si>
  <si>
    <t>72</t>
  </si>
  <si>
    <t>73</t>
  </si>
  <si>
    <t>74</t>
  </si>
  <si>
    <t>75</t>
  </si>
  <si>
    <t>76</t>
  </si>
  <si>
    <t>77</t>
  </si>
  <si>
    <t>78</t>
  </si>
  <si>
    <t>79</t>
  </si>
  <si>
    <t>8</t>
  </si>
  <si>
    <t>80</t>
  </si>
  <si>
    <t>81</t>
  </si>
  <si>
    <t>82</t>
  </si>
  <si>
    <t>83</t>
  </si>
  <si>
    <t>84</t>
  </si>
  <si>
    <t>85</t>
  </si>
  <si>
    <t>86</t>
  </si>
  <si>
    <t>87</t>
  </si>
  <si>
    <t>88</t>
  </si>
  <si>
    <t>89</t>
  </si>
  <si>
    <t>9</t>
  </si>
  <si>
    <t>90</t>
  </si>
  <si>
    <t>91</t>
  </si>
  <si>
    <t>92</t>
  </si>
  <si>
    <t>93</t>
  </si>
  <si>
    <t>94</t>
  </si>
  <si>
    <t>95</t>
  </si>
  <si>
    <t>96</t>
  </si>
  <si>
    <t>97</t>
  </si>
  <si>
    <t>98</t>
  </si>
  <si>
    <t>99</t>
  </si>
  <si>
    <t>2022年度边境小康村到县资金规模情况表（截止12月31日）</t>
  </si>
  <si>
    <t>州市</t>
  </si>
  <si>
    <t>应保障金额</t>
  </si>
  <si>
    <t>省乡村振兴局保障金额（折算）</t>
  </si>
  <si>
    <t>2021年已下达资金</t>
  </si>
  <si>
    <t>2022年已预拨资金</t>
  </si>
  <si>
    <t>边境县缺口资金（正数为缺口资金，合计为正数合计）</t>
  </si>
  <si>
    <t>总计</t>
  </si>
  <si>
    <t>中央</t>
  </si>
  <si>
    <t>2021年</t>
  </si>
  <si>
    <t>2022年</t>
  </si>
  <si>
    <t>红河州</t>
  </si>
  <si>
    <t>文山州</t>
  </si>
  <si>
    <t>普洱市</t>
  </si>
  <si>
    <t>版纳州</t>
  </si>
  <si>
    <t>保山市</t>
  </si>
  <si>
    <t>德宏州</t>
  </si>
  <si>
    <t>怒江州</t>
  </si>
  <si>
    <t>临沧市</t>
  </si>
  <si>
    <t xml:space="preserve">                          2023年中央提前批财政衔接推进乡村振兴补助资金测算分配表</t>
  </si>
  <si>
    <t>2021年全年下达数（省级）</t>
  </si>
  <si>
    <t>2021年全年下达数按同口径折算（省级）</t>
  </si>
  <si>
    <t>2021年全年实际下达数（中央）</t>
  </si>
  <si>
    <t>2021年全年下达数（中央）未扣除扣减部分</t>
  </si>
  <si>
    <t>2021年全年下达数按同口径折算（中央）未扣除扣减部分</t>
  </si>
  <si>
    <t>2021年全年下达数按同口径折算（中央）</t>
  </si>
  <si>
    <t>2022年下达数（中央）</t>
  </si>
  <si>
    <t>2022年下达数（省级）</t>
  </si>
  <si>
    <t>因素1.相关人群数量及结构（35%）</t>
  </si>
  <si>
    <t>因素2.相关人群收入（权重10%）</t>
  </si>
  <si>
    <t>因素3.政策因素（权重45%）</t>
  </si>
  <si>
    <t>因素4.绩效管理因素（权重10%）</t>
  </si>
  <si>
    <t>(隐藏)测算情况</t>
  </si>
  <si>
    <t>（隐藏）省级较2021年增减金额</t>
  </si>
  <si>
    <t>（隐藏）省级较2021年增减比例</t>
  </si>
  <si>
    <t>本次计划安排情况</t>
  </si>
  <si>
    <t>同比例折算2022年下达数（中央）</t>
  </si>
  <si>
    <t>中央较2022年增减金额</t>
  </si>
  <si>
    <t>中央较2021年增减比例</t>
  </si>
  <si>
    <t>脱贫人口规模（人）（15%）</t>
  </si>
  <si>
    <t>防返贫监测人口规模（人）（10%）</t>
  </si>
  <si>
    <t>监测人口折算</t>
  </si>
  <si>
    <t>易地扶贫搬迁贫困人口规模（人）（7.5%）</t>
  </si>
  <si>
    <t>雨露计划规模（户）（2.5%）</t>
  </si>
  <si>
    <t>其中：3000人以上的特大型安置区贫困人口</t>
  </si>
  <si>
    <t>脱贫和监测人口人均纯收入（元）</t>
  </si>
  <si>
    <t>按加权平均法换算（中间数值）</t>
  </si>
  <si>
    <t>收入折算</t>
  </si>
  <si>
    <t>产业发展（8%）</t>
  </si>
  <si>
    <t>外出务工就业(7%)</t>
  </si>
  <si>
    <t>乡村建设示范村（10%）</t>
  </si>
  <si>
    <t>国家乡村振兴重点帮扶县（20%）</t>
  </si>
  <si>
    <t>2021年度资金绩效评价结果（5%）</t>
  </si>
  <si>
    <t>2021年度资金绩效评价结果（3%）</t>
  </si>
  <si>
    <t>2021年度脱贫成果考核结果（4%）</t>
  </si>
  <si>
    <t>支出进度（3%）</t>
  </si>
  <si>
    <t>项目库建设（2.5%）</t>
  </si>
  <si>
    <t>3000-10000人的特大型安置区贫困人口</t>
  </si>
  <si>
    <t>10000人以上的超大型安置区贫困人口</t>
  </si>
  <si>
    <t>其中：跨县安置</t>
  </si>
  <si>
    <t>按折算人口数测算分配2859万元</t>
  </si>
  <si>
    <t>新增小额信贷规模（万元）</t>
  </si>
  <si>
    <t>联农农业新型经营主体数量(个)</t>
  </si>
  <si>
    <t>农业经营主体联农覆盖率（%）</t>
  </si>
  <si>
    <t>重点县“一县一业”</t>
  </si>
  <si>
    <t>普洱咖啡产业发展</t>
  </si>
  <si>
    <t>务工脱贫人口和监测人口规模（人）</t>
  </si>
  <si>
    <t>就业培训（万人）</t>
  </si>
  <si>
    <t>示范村（个）</t>
  </si>
  <si>
    <t>2022年支出进度</t>
  </si>
  <si>
    <t>综合得分</t>
  </si>
  <si>
    <t>C</t>
  </si>
  <si>
    <t>好</t>
  </si>
  <si>
    <t>B</t>
  </si>
  <si>
    <t>较好</t>
  </si>
  <si>
    <t>A</t>
  </si>
  <si>
    <t>D</t>
  </si>
  <si>
    <t>区县</t>
  </si>
  <si>
    <t>总户数</t>
  </si>
  <si>
    <t>总人数</t>
  </si>
  <si>
    <t>消除风险户数</t>
  </si>
  <si>
    <t>消除风险人数</t>
  </si>
  <si>
    <t>昆明市</t>
  </si>
  <si>
    <t>空港经济区</t>
  </si>
  <si>
    <t>经济技术开发区</t>
  </si>
  <si>
    <t>阳宗海风景名胜区</t>
  </si>
  <si>
    <t>曲靖市</t>
  </si>
  <si>
    <t>玉溪市</t>
  </si>
  <si>
    <t>昭通市</t>
  </si>
  <si>
    <t>丽江市</t>
  </si>
  <si>
    <t>楚雄州</t>
  </si>
  <si>
    <t>西双版纳州</t>
  </si>
  <si>
    <t>大理州</t>
  </si>
  <si>
    <t>迪庆州</t>
  </si>
  <si>
    <t>香格里拉县</t>
  </si>
  <si>
    <t>脱贫人口和监测对象2022年前三季度人均纯收入情况表</t>
  </si>
  <si>
    <t>户数</t>
  </si>
  <si>
    <t>人数</t>
  </si>
  <si>
    <t>前三季度累计人均纯收入</t>
  </si>
  <si>
    <t>完成年度目标</t>
  </si>
  <si>
    <t>合计</t>
  </si>
  <si>
    <t>高新技术产业开发区</t>
  </si>
  <si>
    <t>滇池旅游度假区</t>
  </si>
  <si>
    <t>经开区</t>
  </si>
  <si>
    <t>2022年发放贷款金额情况统计表</t>
  </si>
  <si>
    <t>当年累计贷款金额（万元）</t>
  </si>
  <si>
    <t>历年累计贷款金额（万元）</t>
  </si>
  <si>
    <t>小计</t>
  </si>
  <si>
    <t xml:space="preserve">农信社
农商行
农合行</t>
  </si>
  <si>
    <t>邮储银行</t>
  </si>
  <si>
    <t>农业银行</t>
  </si>
  <si>
    <t>村镇银行</t>
  </si>
  <si>
    <t>243.6</t>
  </si>
  <si>
    <t>0</t>
  </si>
  <si>
    <t>228.6</t>
  </si>
  <si>
    <t>1482.8</t>
  </si>
  <si>
    <t>622</t>
  </si>
  <si>
    <t>860.8</t>
  </si>
  <si>
    <t>10971.8547</t>
  </si>
  <si>
    <t>10871.8547</t>
  </si>
  <si>
    <t>77429.2547</t>
  </si>
  <si>
    <t>76590.7547</t>
  </si>
  <si>
    <t>838.5</t>
  </si>
  <si>
    <t>556</t>
  </si>
  <si>
    <t>128.8</t>
  </si>
  <si>
    <t>2599.654</t>
  </si>
  <si>
    <t>234.9</t>
  </si>
  <si>
    <t>1928.715</t>
  </si>
  <si>
    <t>石林彝族自治县</t>
  </si>
  <si>
    <t>382.06</t>
  </si>
  <si>
    <t>6894.5072</t>
  </si>
  <si>
    <t>443</t>
  </si>
  <si>
    <t>3242</t>
  </si>
  <si>
    <t>3236</t>
  </si>
  <si>
    <t>禄劝彝族苗族自治县</t>
  </si>
  <si>
    <t>23053.16</t>
  </si>
  <si>
    <t>95702.28</t>
  </si>
  <si>
    <t>95450.28</t>
  </si>
  <si>
    <t>252</t>
  </si>
  <si>
    <t>寻甸回族彝族自治县</t>
  </si>
  <si>
    <t>15602.225</t>
  </si>
  <si>
    <t>88905.6845</t>
  </si>
  <si>
    <t>200</t>
  </si>
  <si>
    <t>8.9</t>
  </si>
  <si>
    <t>1582.98</t>
  </si>
  <si>
    <t>334.4</t>
  </si>
  <si>
    <t>5366.81</t>
  </si>
  <si>
    <t>4454.81</t>
  </si>
  <si>
    <t>912</t>
  </si>
  <si>
    <t>705.5</t>
  </si>
  <si>
    <t>7458.1</t>
  </si>
  <si>
    <t>2938.31</t>
  </si>
  <si>
    <t>2880.71</t>
  </si>
  <si>
    <t>57.6</t>
  </si>
  <si>
    <t>25921.652</t>
  </si>
  <si>
    <t>15551.852</t>
  </si>
  <si>
    <t>2824.5</t>
  </si>
  <si>
    <t>7545.3</t>
  </si>
  <si>
    <t>2897.69</t>
  </si>
  <si>
    <t>2859.89</t>
  </si>
  <si>
    <t>37.8</t>
  </si>
  <si>
    <t>30888.249</t>
  </si>
  <si>
    <t>19429.849</t>
  </si>
  <si>
    <t>680</t>
  </si>
  <si>
    <t>10778.4</t>
  </si>
  <si>
    <t>4259.439</t>
  </si>
  <si>
    <t>28409.5057</t>
  </si>
  <si>
    <t>4509.8</t>
  </si>
  <si>
    <t>59066.26</t>
  </si>
  <si>
    <t>34505.26</t>
  </si>
  <si>
    <t>6659</t>
  </si>
  <si>
    <t>17552</t>
  </si>
  <si>
    <t>19899.93</t>
  </si>
  <si>
    <t>18258.43</t>
  </si>
  <si>
    <t>240</t>
  </si>
  <si>
    <t>1401.5</t>
  </si>
  <si>
    <t>232654.0816</t>
  </si>
  <si>
    <t>165446.1516</t>
  </si>
  <si>
    <t>13268</t>
  </si>
  <si>
    <t>41948.1</t>
  </si>
  <si>
    <t>1544.6</t>
  </si>
  <si>
    <t>9390.1108</t>
  </si>
  <si>
    <t>7788.0108</t>
  </si>
  <si>
    <t>1602.1</t>
  </si>
  <si>
    <t>11507.85</t>
  </si>
  <si>
    <t>11310.85</t>
  </si>
  <si>
    <t>197</t>
  </si>
  <si>
    <t>131463.7051</t>
  </si>
  <si>
    <t>91072.0051</t>
  </si>
  <si>
    <t>4775</t>
  </si>
  <si>
    <t>35616.7</t>
  </si>
  <si>
    <t>667.96</t>
  </si>
  <si>
    <t>15369.1999</t>
  </si>
  <si>
    <t>15091.1999</t>
  </si>
  <si>
    <t>278</t>
  </si>
  <si>
    <t>14034.67</t>
  </si>
  <si>
    <t>9648.67</t>
  </si>
  <si>
    <t>4386</t>
  </si>
  <si>
    <t>135</t>
  </si>
  <si>
    <t>130</t>
  </si>
  <si>
    <t>15486.78</t>
  </si>
  <si>
    <t>12321.78</t>
  </si>
  <si>
    <t>2958</t>
  </si>
  <si>
    <t>10814</t>
  </si>
  <si>
    <t>3636.1</t>
  </si>
  <si>
    <t>30854.92</t>
  </si>
  <si>
    <t>215</t>
  </si>
  <si>
    <t>28532.6</t>
  </si>
  <si>
    <t>21037.6</t>
  </si>
  <si>
    <t>7495</t>
  </si>
  <si>
    <t>峨山彝族自治县</t>
  </si>
  <si>
    <t>893</t>
  </si>
  <si>
    <t>23498.05</t>
  </si>
  <si>
    <t>新平彝族傣族自治县</t>
  </si>
  <si>
    <t>1668.7</t>
  </si>
  <si>
    <t>25016.6</t>
  </si>
  <si>
    <t>17343.4</t>
  </si>
  <si>
    <t>2979.5</t>
  </si>
  <si>
    <t>4693.7</t>
  </si>
  <si>
    <t>元江哈尼族彝族傣族自治县</t>
  </si>
  <si>
    <t>260.88</t>
  </si>
  <si>
    <t>33634.1694</t>
  </si>
  <si>
    <t>31388.1694</t>
  </si>
  <si>
    <t>2246</t>
  </si>
  <si>
    <t>4215.23</t>
  </si>
  <si>
    <t>4090.23</t>
  </si>
  <si>
    <t>125</t>
  </si>
  <si>
    <t>49095.54</t>
  </si>
  <si>
    <t>43785.54</t>
  </si>
  <si>
    <t>4756</t>
  </si>
  <si>
    <t>554</t>
  </si>
  <si>
    <t>16451.29</t>
  </si>
  <si>
    <t>79549.89</t>
  </si>
  <si>
    <t>腾冲县</t>
  </si>
  <si>
    <t>2678.9</t>
  </si>
  <si>
    <t>2608.9</t>
  </si>
  <si>
    <t>19886.61</t>
  </si>
  <si>
    <t>17059.61</t>
  </si>
  <si>
    <t>2827</t>
  </si>
  <si>
    <t>5373.9</t>
  </si>
  <si>
    <t>5013.9</t>
  </si>
  <si>
    <t>360</t>
  </si>
  <si>
    <t>52341</t>
  </si>
  <si>
    <t>51016</t>
  </si>
  <si>
    <t>195</t>
  </si>
  <si>
    <t>1130</t>
  </si>
  <si>
    <t>7722.8</t>
  </si>
  <si>
    <t>79143.8</t>
  </si>
  <si>
    <t>77233.8</t>
  </si>
  <si>
    <t>1910</t>
  </si>
  <si>
    <t>10623.15</t>
  </si>
  <si>
    <t>10618.65</t>
  </si>
  <si>
    <t>4.5</t>
  </si>
  <si>
    <t>85990.9296</t>
  </si>
  <si>
    <t>85907.4296</t>
  </si>
  <si>
    <t>12573.79</t>
  </si>
  <si>
    <t>12425.79</t>
  </si>
  <si>
    <t>148</t>
  </si>
  <si>
    <t>86305.94</t>
  </si>
  <si>
    <t>85932.94</t>
  </si>
  <si>
    <t>313</t>
  </si>
  <si>
    <t>11513.56</t>
  </si>
  <si>
    <t>10873.09</t>
  </si>
  <si>
    <t>640.47</t>
  </si>
  <si>
    <t>75424.633</t>
  </si>
  <si>
    <t>65466.163</t>
  </si>
  <si>
    <t>9958.47</t>
  </si>
  <si>
    <t>7273.5217</t>
  </si>
  <si>
    <t>6446.9217</t>
  </si>
  <si>
    <t>826.6</t>
  </si>
  <si>
    <t>49076.9926</t>
  </si>
  <si>
    <t>37546.1926</t>
  </si>
  <si>
    <t>11530.8</t>
  </si>
  <si>
    <t>16047.1</t>
  </si>
  <si>
    <t>15910.8</t>
  </si>
  <si>
    <t>136.3</t>
  </si>
  <si>
    <t>86140.997</t>
  </si>
  <si>
    <t>83464.697</t>
  </si>
  <si>
    <t>2676.3</t>
  </si>
  <si>
    <t>12006.1</t>
  </si>
  <si>
    <t>10816.3</t>
  </si>
  <si>
    <t>1134.8</t>
  </si>
  <si>
    <t>60663.25</t>
  </si>
  <si>
    <t>54229.83</t>
  </si>
  <si>
    <t>760.5</t>
  </si>
  <si>
    <t>5595.92</t>
  </si>
  <si>
    <t>2023.07</t>
  </si>
  <si>
    <t>14594.45</t>
  </si>
  <si>
    <t>14236.45</t>
  </si>
  <si>
    <t>358</t>
  </si>
  <si>
    <t>63245.419</t>
  </si>
  <si>
    <t>63179.719</t>
  </si>
  <si>
    <t>65.7</t>
  </si>
  <si>
    <t>260289.5567</t>
  </si>
  <si>
    <t>252745.9167</t>
  </si>
  <si>
    <t>7543.64</t>
  </si>
  <si>
    <t>25700.77</t>
  </si>
  <si>
    <t>25195.57</t>
  </si>
  <si>
    <t>505.2</t>
  </si>
  <si>
    <t>108014.02</t>
  </si>
  <si>
    <t>91966.72</t>
  </si>
  <si>
    <t>4908</t>
  </si>
  <si>
    <t>11139.3</t>
  </si>
  <si>
    <t>2429.509732</t>
  </si>
  <si>
    <t>2285.009732</t>
  </si>
  <si>
    <t>144.5</t>
  </si>
  <si>
    <t>31424.781732</t>
  </si>
  <si>
    <t>27632.281732</t>
  </si>
  <si>
    <t>2519.5</t>
  </si>
  <si>
    <t>776.38</t>
  </si>
  <si>
    <t>5235.45</t>
  </si>
  <si>
    <t>126.57</t>
  </si>
  <si>
    <t>2296.166</t>
  </si>
  <si>
    <t>玉龙纳西族自治县</t>
  </si>
  <si>
    <t>2117.6</t>
  </si>
  <si>
    <t>1934.66</t>
  </si>
  <si>
    <t>182.94</t>
  </si>
  <si>
    <t>19844.908</t>
  </si>
  <si>
    <t>17674.468</t>
  </si>
  <si>
    <t>1067.5</t>
  </si>
  <si>
    <t>5934.9</t>
  </si>
  <si>
    <t>63474.47</t>
  </si>
  <si>
    <t>48378.57</t>
  </si>
  <si>
    <t>2144</t>
  </si>
  <si>
    <t>5656.9</t>
  </si>
  <si>
    <t>4747.67</t>
  </si>
  <si>
    <t>24716.0158</t>
  </si>
  <si>
    <t>17292.6158</t>
  </si>
  <si>
    <t>525</t>
  </si>
  <si>
    <t>6898.4</t>
  </si>
  <si>
    <t>宁蒗彝族自治县</t>
  </si>
  <si>
    <t>6466.2397</t>
  </si>
  <si>
    <t>6212.2397</t>
  </si>
  <si>
    <t>254</t>
  </si>
  <si>
    <t>77237.1464</t>
  </si>
  <si>
    <t>55543.1669</t>
  </si>
  <si>
    <t>1627.2</t>
  </si>
  <si>
    <t>20016.7795</t>
  </si>
  <si>
    <t>1208</t>
  </si>
  <si>
    <t>10832.48</t>
  </si>
  <si>
    <t>宁洱哈尼族彝族自治县</t>
  </si>
  <si>
    <t>761.5</t>
  </si>
  <si>
    <t>17984.8</t>
  </si>
  <si>
    <t>14410.1</t>
  </si>
  <si>
    <t>3574.7</t>
  </si>
  <si>
    <t>墨江哈尼族自治县</t>
  </si>
  <si>
    <t>6045</t>
  </si>
  <si>
    <t>28673.95</t>
  </si>
  <si>
    <t>28541.95</t>
  </si>
  <si>
    <t>132</t>
  </si>
  <si>
    <t>景东彝族自治县</t>
  </si>
  <si>
    <t>12501</t>
  </si>
  <si>
    <t>82231.26</t>
  </si>
  <si>
    <t>景谷傣族彝族自治县</t>
  </si>
  <si>
    <t>3279.44</t>
  </si>
  <si>
    <t>3269.64</t>
  </si>
  <si>
    <t>9.8</t>
  </si>
  <si>
    <t>36011.84</t>
  </si>
  <si>
    <t>29393.94</t>
  </si>
  <si>
    <t>4940</t>
  </si>
  <si>
    <t>1677.9</t>
  </si>
  <si>
    <t>镇沅彝族哈尼族拉祜族自治县</t>
  </si>
  <si>
    <t>3972.9</t>
  </si>
  <si>
    <t>42873.35</t>
  </si>
  <si>
    <t>江城哈尼族彝族自治县</t>
  </si>
  <si>
    <t>1910.6</t>
  </si>
  <si>
    <t>1866.1</t>
  </si>
  <si>
    <t>44.5</t>
  </si>
  <si>
    <t>32642.517757</t>
  </si>
  <si>
    <t>28178.42</t>
  </si>
  <si>
    <t>1656</t>
  </si>
  <si>
    <t>2808.097757</t>
  </si>
  <si>
    <t>孟连傣族拉祜族佤族自治县</t>
  </si>
  <si>
    <t>3112.78</t>
  </si>
  <si>
    <t>22009.06</t>
  </si>
  <si>
    <t>澜沧拉祜族自治县</t>
  </si>
  <si>
    <t>61435.46</t>
  </si>
  <si>
    <t>61433.46</t>
  </si>
  <si>
    <t>217146.67</t>
  </si>
  <si>
    <t>211111.67</t>
  </si>
  <si>
    <t>4036.5</t>
  </si>
  <si>
    <t>1998.5</t>
  </si>
  <si>
    <t>西盟佤族自治县</t>
  </si>
  <si>
    <t>1604.6</t>
  </si>
  <si>
    <t>23379.1344</t>
  </si>
  <si>
    <t>18929.1344</t>
  </si>
  <si>
    <t>4450</t>
  </si>
  <si>
    <t>3068.3</t>
  </si>
  <si>
    <t>37099.9</t>
  </si>
  <si>
    <t>5919.9</t>
  </si>
  <si>
    <t>30020</t>
  </si>
  <si>
    <t>1160</t>
  </si>
  <si>
    <t>2063.28</t>
  </si>
  <si>
    <t>32914.93</t>
  </si>
  <si>
    <t>30345.93</t>
  </si>
  <si>
    <t>2569</t>
  </si>
  <si>
    <t>540.9</t>
  </si>
  <si>
    <t>7369.399</t>
  </si>
  <si>
    <t>6244.499</t>
  </si>
  <si>
    <t>1124.9</t>
  </si>
  <si>
    <t>2441.14</t>
  </si>
  <si>
    <t>2432.14</t>
  </si>
  <si>
    <t>19155.25</t>
  </si>
  <si>
    <t>17767.25</t>
  </si>
  <si>
    <t>1388</t>
  </si>
  <si>
    <t>447.1</t>
  </si>
  <si>
    <t>5978.07</t>
  </si>
  <si>
    <t>5857.07</t>
  </si>
  <si>
    <t>双江拉祜族佤族布朗族傣族自治县</t>
  </si>
  <si>
    <t>564.48</t>
  </si>
  <si>
    <t>5495.11</t>
  </si>
  <si>
    <t>4830.31</t>
  </si>
  <si>
    <t>664.8</t>
  </si>
  <si>
    <t>耿马傣族佤族自治县</t>
  </si>
  <si>
    <t>1627.33</t>
  </si>
  <si>
    <t>5941.53</t>
  </si>
  <si>
    <t>5711.53</t>
  </si>
  <si>
    <t>230</t>
  </si>
  <si>
    <t>沧源佤族自治县</t>
  </si>
  <si>
    <t>604.4</t>
  </si>
  <si>
    <t>10670.27</t>
  </si>
  <si>
    <t>9470.77</t>
  </si>
  <si>
    <t>1199.5</t>
  </si>
  <si>
    <t>3023.83</t>
  </si>
  <si>
    <t>41717.22</t>
  </si>
  <si>
    <t>34585.72</t>
  </si>
  <si>
    <t>6151.5</t>
  </si>
  <si>
    <t>2236</t>
  </si>
  <si>
    <t>34326.222</t>
  </si>
  <si>
    <t>25899.27</t>
  </si>
  <si>
    <t>4968.952</t>
  </si>
  <si>
    <t>3458</t>
  </si>
  <si>
    <t>1395.72</t>
  </si>
  <si>
    <t>1192.72</t>
  </si>
  <si>
    <t>160</t>
  </si>
  <si>
    <t>26246.44</t>
  </si>
  <si>
    <t>19615.5</t>
  </si>
  <si>
    <t>3701.24</t>
  </si>
  <si>
    <t>2929.7</t>
  </si>
  <si>
    <t>2153.35</t>
  </si>
  <si>
    <t>1933.35</t>
  </si>
  <si>
    <t>210</t>
  </si>
  <si>
    <t>40070.5545</t>
  </si>
  <si>
    <t>34590.5545</t>
  </si>
  <si>
    <t>2796</t>
  </si>
  <si>
    <t>2684</t>
  </si>
  <si>
    <t>485.5</t>
  </si>
  <si>
    <t>390.5</t>
  </si>
  <si>
    <t>28803.11</t>
  </si>
  <si>
    <t>17240.11</t>
  </si>
  <si>
    <t>2133</t>
  </si>
  <si>
    <t>9050</t>
  </si>
  <si>
    <t>6605.8</t>
  </si>
  <si>
    <t>6560.8</t>
  </si>
  <si>
    <t>44182.85</t>
  </si>
  <si>
    <t>38630.95</t>
  </si>
  <si>
    <t>1720</t>
  </si>
  <si>
    <t>3831.9</t>
  </si>
  <si>
    <t>2317.4</t>
  </si>
  <si>
    <t>2272.4</t>
  </si>
  <si>
    <t>38990.283</t>
  </si>
  <si>
    <t>30129.283</t>
  </si>
  <si>
    <t>3861</t>
  </si>
  <si>
    <t>5000</t>
  </si>
  <si>
    <t>2019.8</t>
  </si>
  <si>
    <t>1909.8</t>
  </si>
  <si>
    <t>33005.7</t>
  </si>
  <si>
    <t>23193</t>
  </si>
  <si>
    <t>4406</t>
  </si>
  <si>
    <t>3431.7</t>
  </si>
  <si>
    <t>15445.092</t>
  </si>
  <si>
    <t>14735.792</t>
  </si>
  <si>
    <t>562.3</t>
  </si>
  <si>
    <t>147</t>
  </si>
  <si>
    <t>82470.582</t>
  </si>
  <si>
    <t>61097.682</t>
  </si>
  <si>
    <t>14529.3</t>
  </si>
  <si>
    <t>6730.8</t>
  </si>
  <si>
    <t>禄丰县</t>
  </si>
  <si>
    <t>1155.42</t>
  </si>
  <si>
    <t>1110.42</t>
  </si>
  <si>
    <t>29087.9</t>
  </si>
  <si>
    <t>13640.32</t>
  </si>
  <si>
    <t>10038</t>
  </si>
  <si>
    <t>3538</t>
  </si>
  <si>
    <t>1648.5</t>
  </si>
  <si>
    <t>1587.4</t>
  </si>
  <si>
    <t>61.1</t>
  </si>
  <si>
    <t>15580.822</t>
  </si>
  <si>
    <t>14621.59</t>
  </si>
  <si>
    <t>824.232</t>
  </si>
  <si>
    <t>918.38</t>
  </si>
  <si>
    <t>738.68</t>
  </si>
  <si>
    <t>144</t>
  </si>
  <si>
    <t>35.7</t>
  </si>
  <si>
    <t>15842.4</t>
  </si>
  <si>
    <t>12463.3</t>
  </si>
  <si>
    <t>1688.2</t>
  </si>
  <si>
    <t>1690.9</t>
  </si>
  <si>
    <t>1617</t>
  </si>
  <si>
    <t>34971.5962</t>
  </si>
  <si>
    <t>33322.7962</t>
  </si>
  <si>
    <t>1648.8</t>
  </si>
  <si>
    <t>屏边苗族自治县</t>
  </si>
  <si>
    <t>3088.68</t>
  </si>
  <si>
    <t>2891.48</t>
  </si>
  <si>
    <t>197.2</t>
  </si>
  <si>
    <t>59978.8</t>
  </si>
  <si>
    <t>57384.6</t>
  </si>
  <si>
    <t>2594.2</t>
  </si>
  <si>
    <t>2514.3</t>
  </si>
  <si>
    <t>2472</t>
  </si>
  <si>
    <t>42.3</t>
  </si>
  <si>
    <t>27721.09</t>
  </si>
  <si>
    <t>25097.3</t>
  </si>
  <si>
    <t>675.2</t>
  </si>
  <si>
    <t>1948.59</t>
  </si>
  <si>
    <t>2510.4772</t>
  </si>
  <si>
    <t>56420.7272</t>
  </si>
  <si>
    <t>56115.7272</t>
  </si>
  <si>
    <t>305</t>
  </si>
  <si>
    <t>3855.05</t>
  </si>
  <si>
    <t>3792.85</t>
  </si>
  <si>
    <t>62.2</t>
  </si>
  <si>
    <t>28466.263443</t>
  </si>
  <si>
    <t>26354.27</t>
  </si>
  <si>
    <t>816.5</t>
  </si>
  <si>
    <t>1295.493443</t>
  </si>
  <si>
    <t>5715.8</t>
  </si>
  <si>
    <t>57688.6915</t>
  </si>
  <si>
    <t>56661.5915</t>
  </si>
  <si>
    <t>1027.1</t>
  </si>
  <si>
    <t>14924.3628</t>
  </si>
  <si>
    <t>14267.5128</t>
  </si>
  <si>
    <t>656.85</t>
  </si>
  <si>
    <t>78973.8739</t>
  </si>
  <si>
    <t>72234.2639</t>
  </si>
  <si>
    <t>6739.61</t>
  </si>
  <si>
    <t>8815.48</t>
  </si>
  <si>
    <t>58303.04</t>
  </si>
  <si>
    <t>44239.94</t>
  </si>
  <si>
    <t>14063.1</t>
  </si>
  <si>
    <t>金平苗族瑶族傣族自治县</t>
  </si>
  <si>
    <t>7685.31</t>
  </si>
  <si>
    <t>6927.31</t>
  </si>
  <si>
    <t>758</t>
  </si>
  <si>
    <t>51429.84</t>
  </si>
  <si>
    <t>40885.14</t>
  </si>
  <si>
    <t>10544.7</t>
  </si>
  <si>
    <t>15608.37</t>
  </si>
  <si>
    <t>14629.77</t>
  </si>
  <si>
    <t>978.6</t>
  </si>
  <si>
    <t>59280.44</t>
  </si>
  <si>
    <t>55869.04</t>
  </si>
  <si>
    <t>3411.4</t>
  </si>
  <si>
    <t>河口瑶族自治县</t>
  </si>
  <si>
    <t>940.5</t>
  </si>
  <si>
    <t>7938.19</t>
  </si>
  <si>
    <t>6981.79</t>
  </si>
  <si>
    <t>277</t>
  </si>
  <si>
    <t>679.4</t>
  </si>
  <si>
    <t>1575.53</t>
  </si>
  <si>
    <t>826.13</t>
  </si>
  <si>
    <t>749.4</t>
  </si>
  <si>
    <t>24679.8958</t>
  </si>
  <si>
    <t>12943.0833</t>
  </si>
  <si>
    <t>1030.8</t>
  </si>
  <si>
    <t>4600.0125</t>
  </si>
  <si>
    <t>1123.76</t>
  </si>
  <si>
    <t>1056.96</t>
  </si>
  <si>
    <t>66.8</t>
  </si>
  <si>
    <t>22052.123</t>
  </si>
  <si>
    <t>17373.023</t>
  </si>
  <si>
    <t>4591.1</t>
  </si>
  <si>
    <t>3668.947</t>
  </si>
  <si>
    <t>3528.547</t>
  </si>
  <si>
    <t>140.4</t>
  </si>
  <si>
    <t>24901.4819</t>
  </si>
  <si>
    <t>22360.0319</t>
  </si>
  <si>
    <t>2541.45</t>
  </si>
  <si>
    <t>2349.203</t>
  </si>
  <si>
    <t>1550.963</t>
  </si>
  <si>
    <t>798.24</t>
  </si>
  <si>
    <t>29953.666</t>
  </si>
  <si>
    <t>21815.896</t>
  </si>
  <si>
    <t>8117.77</t>
  </si>
  <si>
    <t>9406.4346</t>
  </si>
  <si>
    <t>7894.3746</t>
  </si>
  <si>
    <t>1512.06</t>
  </si>
  <si>
    <t>61649.0694</t>
  </si>
  <si>
    <t>51062.0034</t>
  </si>
  <si>
    <t>10382.066</t>
  </si>
  <si>
    <t>2098.23</t>
  </si>
  <si>
    <t>2088.23</t>
  </si>
  <si>
    <t>37402.439</t>
  </si>
  <si>
    <t>26387.439</t>
  </si>
  <si>
    <t>2165</t>
  </si>
  <si>
    <t>5455</t>
  </si>
  <si>
    <t>5026.9568</t>
  </si>
  <si>
    <t>3547.6568</t>
  </si>
  <si>
    <t>1454.9</t>
  </si>
  <si>
    <t>24.4</t>
  </si>
  <si>
    <t>83109.246105</t>
  </si>
  <si>
    <t>50751.3112</t>
  </si>
  <si>
    <t>4110.3</t>
  </si>
  <si>
    <t>21339.5466</t>
  </si>
  <si>
    <t>2035.87</t>
  </si>
  <si>
    <t>1980.87</t>
  </si>
  <si>
    <t>26632.7985</t>
  </si>
  <si>
    <t>22820.7985</t>
  </si>
  <si>
    <t>1361</t>
  </si>
  <si>
    <t>2011</t>
  </si>
  <si>
    <t>7244.75</t>
  </si>
  <si>
    <t>131.1</t>
  </si>
  <si>
    <t>9804.2831</t>
  </si>
  <si>
    <t>1053.1</t>
  </si>
  <si>
    <t>12163.5</t>
  </si>
  <si>
    <t>12030.5</t>
  </si>
  <si>
    <t>2585.35</t>
  </si>
  <si>
    <t>2567.85</t>
  </si>
  <si>
    <t>17.5</t>
  </si>
  <si>
    <t>26419.5</t>
  </si>
  <si>
    <t>23123.3</t>
  </si>
  <si>
    <t>1303.7</t>
  </si>
  <si>
    <t>漾濞彝族自治县</t>
  </si>
  <si>
    <t>2860.38</t>
  </si>
  <si>
    <t>2366.5</t>
  </si>
  <si>
    <t>493.88</t>
  </si>
  <si>
    <t>42999.72</t>
  </si>
  <si>
    <t>27891.58</t>
  </si>
  <si>
    <t>15108.14</t>
  </si>
  <si>
    <t>1163.2</t>
  </si>
  <si>
    <t>488.3</t>
  </si>
  <si>
    <t>674.9</t>
  </si>
  <si>
    <t>112890.2</t>
  </si>
  <si>
    <t>91990.15</t>
  </si>
  <si>
    <t>20650.05</t>
  </si>
  <si>
    <t>17233.5</t>
  </si>
  <si>
    <t>15297.7</t>
  </si>
  <si>
    <t>1935.8</t>
  </si>
  <si>
    <t>132090.4126</t>
  </si>
  <si>
    <t>98451.5126</t>
  </si>
  <si>
    <t>33638.9</t>
  </si>
  <si>
    <t>15802.7195</t>
  </si>
  <si>
    <t>170337.2795</t>
  </si>
  <si>
    <t>167347.2795</t>
  </si>
  <si>
    <t>南涧彝族自治县</t>
  </si>
  <si>
    <t>3070.09</t>
  </si>
  <si>
    <t>2427.39</t>
  </si>
  <si>
    <t>642.7</t>
  </si>
  <si>
    <t>106215.385371</t>
  </si>
  <si>
    <t>79073.3676</t>
  </si>
  <si>
    <t>2406.8</t>
  </si>
  <si>
    <t>24735.217771</t>
  </si>
  <si>
    <t>巍山彝族回族自治县</t>
  </si>
  <si>
    <t>16323.6</t>
  </si>
  <si>
    <t>16226.6</t>
  </si>
  <si>
    <t>121710.9</t>
  </si>
  <si>
    <t>97979.5</t>
  </si>
  <si>
    <t>1695</t>
  </si>
  <si>
    <t>21595.4</t>
  </si>
  <si>
    <t>7447.5</t>
  </si>
  <si>
    <t>6215</t>
  </si>
  <si>
    <t>1227.5</t>
  </si>
  <si>
    <t>70446.18</t>
  </si>
  <si>
    <t>53081.98</t>
  </si>
  <si>
    <t>2833.5</t>
  </si>
  <si>
    <t>14530.7</t>
  </si>
  <si>
    <t>12737.44</t>
  </si>
  <si>
    <t>12732.44</t>
  </si>
  <si>
    <t>105233.38</t>
  </si>
  <si>
    <t>103352.88</t>
  </si>
  <si>
    <t>1880.5</t>
  </si>
  <si>
    <t>6727.8</t>
  </si>
  <si>
    <t>3957.5</t>
  </si>
  <si>
    <t>2770.3</t>
  </si>
  <si>
    <t>105323.25</t>
  </si>
  <si>
    <t>60605</t>
  </si>
  <si>
    <t>44718.25</t>
  </si>
  <si>
    <t>11833</t>
  </si>
  <si>
    <t>80696.7</t>
  </si>
  <si>
    <t>72747.3</t>
  </si>
  <si>
    <t>7884.4</t>
  </si>
  <si>
    <t>14209.85</t>
  </si>
  <si>
    <t>14131.95</t>
  </si>
  <si>
    <t>77.9</t>
  </si>
  <si>
    <t>113202.67</t>
  </si>
  <si>
    <t>107692.37</t>
  </si>
  <si>
    <t>5510.3</t>
  </si>
  <si>
    <t>499.2656</t>
  </si>
  <si>
    <t>21456.2199</t>
  </si>
  <si>
    <t>15284.7199</t>
  </si>
  <si>
    <t>6171.5</t>
  </si>
  <si>
    <t>635.8</t>
  </si>
  <si>
    <t>580.8</t>
  </si>
  <si>
    <t>20402.0098</t>
  </si>
  <si>
    <t>15835.7798</t>
  </si>
  <si>
    <t>3323.53</t>
  </si>
  <si>
    <t>1146.7</t>
  </si>
  <si>
    <t>2323.3</t>
  </si>
  <si>
    <t>1899.3</t>
  </si>
  <si>
    <t>424</t>
  </si>
  <si>
    <t>39969.2</t>
  </si>
  <si>
    <t>26731.2</t>
  </si>
  <si>
    <t>10245</t>
  </si>
  <si>
    <t>2993</t>
  </si>
  <si>
    <t>4263.2</t>
  </si>
  <si>
    <t>64064.55</t>
  </si>
  <si>
    <t>59913.55</t>
  </si>
  <si>
    <t>1905</t>
  </si>
  <si>
    <t>1368.1772</t>
  </si>
  <si>
    <t>31166.9272</t>
  </si>
  <si>
    <t>28364.4272</t>
  </si>
  <si>
    <t>1782</t>
  </si>
  <si>
    <t>1020.5</t>
  </si>
  <si>
    <t>7953.45</t>
  </si>
  <si>
    <t>7808.35</t>
  </si>
  <si>
    <t>110.1</t>
  </si>
  <si>
    <t>46398.5685</t>
  </si>
  <si>
    <t>42749.2685</t>
  </si>
  <si>
    <t>1125</t>
  </si>
  <si>
    <t>1835.5</t>
  </si>
  <si>
    <t>2248.63</t>
  </si>
  <si>
    <t>2049.5</t>
  </si>
  <si>
    <t>199.13</t>
  </si>
  <si>
    <t>22535.7389</t>
  </si>
  <si>
    <t>17208.9089</t>
  </si>
  <si>
    <t>5326.83</t>
  </si>
  <si>
    <t>贡山独龙族怒族自治县</t>
  </si>
  <si>
    <t>1510.4</t>
  </si>
  <si>
    <t>1327.4</t>
  </si>
  <si>
    <t>183</t>
  </si>
  <si>
    <t>13146.5</t>
  </si>
  <si>
    <t>10311.1</t>
  </si>
  <si>
    <t>2835.4</t>
  </si>
  <si>
    <t>兰坪白族普米族自治县</t>
  </si>
  <si>
    <t>4460.2</t>
  </si>
  <si>
    <t>66849.1019</t>
  </si>
  <si>
    <t>65904.1019</t>
  </si>
  <si>
    <t>660</t>
  </si>
  <si>
    <t>285</t>
  </si>
  <si>
    <t>684.5</t>
  </si>
  <si>
    <t>7763</t>
  </si>
  <si>
    <t>1396.7</t>
  </si>
  <si>
    <t>7355.3</t>
  </si>
  <si>
    <t>7085.3</t>
  </si>
  <si>
    <t>270</t>
  </si>
  <si>
    <t>维西傈僳族自治县</t>
  </si>
  <si>
    <t>1210.5007</t>
  </si>
  <si>
    <t>15456.3007</t>
  </si>
  <si>
    <t>15453.3007</t>
  </si>
  <si>
    <t>710277.145232</t>
  </si>
  <si>
    <t>685068.175232</t>
  </si>
  <si>
    <t>2030.3</t>
  </si>
  <si>
    <t>21160.83</t>
  </si>
  <si>
    <t>1837.84</t>
  </si>
  <si>
    <t>5812758.289808</t>
  </si>
  <si>
    <t>4954106.163932</t>
  </si>
  <si>
    <t>229959.222</t>
  </si>
  <si>
    <t>577310.865571</t>
  </si>
  <si>
    <t>2022年度项目库建设平时工作评价情况表</t>
  </si>
  <si>
    <t>原贫困县标示</t>
  </si>
  <si>
    <t>2021年储备项目数量（个）</t>
  </si>
  <si>
    <t>2022年储备项目数量（个）</t>
  </si>
  <si>
    <t>同比增长（占比25%）</t>
  </si>
  <si>
    <t>2021年储备项目资金规模（万元）</t>
  </si>
  <si>
    <t>2022年储备项目资金规模（万元）</t>
  </si>
  <si>
    <t>项目库错误信息（条）</t>
  </si>
  <si>
    <t>项目库质量（占比25%）</t>
  </si>
  <si>
    <t>纳入年度计划开工率</t>
  </si>
  <si>
    <t>纳入年度计划开工率（占比25%）</t>
  </si>
  <si>
    <t>2022年度省级部门对州市县区巩固拓展脱贫攻坚成果平时工作评价情况表</t>
  </si>
  <si>
    <t>6月底支出进度</t>
  </si>
  <si>
    <t>6月底支出进度得分（占比10%）</t>
  </si>
  <si>
    <t>6月底支出金额</t>
  </si>
  <si>
    <t>6月底支出金额得分（占比40%）</t>
  </si>
  <si>
    <t>9月底支出进度</t>
  </si>
  <si>
    <t>9月底支出进度得分（占比10%）</t>
  </si>
  <si>
    <t>9月底支出金额</t>
  </si>
  <si>
    <t>9月底支出金额得分（占比40%）</t>
  </si>
  <si>
    <t>10000人以上安置区19个</t>
  </si>
  <si>
    <t>县（市、区）</t>
  </si>
  <si>
    <t>集中安置(建档立卡搬迁户6户及以上）</t>
  </si>
  <si>
    <t>集中安置区名称（不以项目为单位，即不分一期、二期等）</t>
  </si>
  <si>
    <t>搬迁规模</t>
  </si>
  <si>
    <t>户</t>
  </si>
  <si>
    <t>人</t>
  </si>
  <si>
    <t>其中：建档立卡贫困人口</t>
  </si>
  <si>
    <t>文屏镇卯家湾集中安置区(跨县安置)</t>
  </si>
  <si>
    <t>靖安镇洪家营村靖安集中安置区（跨县安置）</t>
  </si>
  <si>
    <t>角奎镇发界集中安置区</t>
  </si>
  <si>
    <t>北闸镇红路村工业园区红路安置区集中安置区</t>
  </si>
  <si>
    <t>盐井镇水田村水田新区安置区</t>
  </si>
  <si>
    <t>溪洛渡镇溪洛渡社区红光新区集中安置区</t>
  </si>
  <si>
    <t>南台街道新村社区呢噜坪集中安置区</t>
  </si>
  <si>
    <t>旧府街道旧府村鲁家院子集中安置区</t>
  </si>
  <si>
    <t>旧府街道高山村大地集中安置区</t>
  </si>
  <si>
    <t>新城区集中安置区</t>
  </si>
  <si>
    <t>以礼街道以礼清水碾安置区</t>
  </si>
  <si>
    <t>钟屏街道鱼洞双岔河安置区</t>
  </si>
  <si>
    <t>以礼街道以礼河滨安置区</t>
  </si>
  <si>
    <t>复兴街道复兴佳园安置区</t>
  </si>
  <si>
    <t>金顶镇县城集中安置区</t>
  </si>
  <si>
    <t>上帕镇县城城区安置区集中安置区</t>
  </si>
  <si>
    <t>上江镇城墙坝集中安置区</t>
  </si>
  <si>
    <t>宁蒗县易地扶贫搬迁进城集中安置区</t>
  </si>
  <si>
    <t>进城集中安置区</t>
  </si>
  <si>
    <t>3000-9999人安置区14个</t>
  </si>
  <si>
    <t>集中安置区名称</t>
  </si>
  <si>
    <t>莲城镇圆梦社区集中安置区</t>
  </si>
  <si>
    <t>兔峨乡兔峨坝集中安置区</t>
  </si>
  <si>
    <t>母享镇母享村集镇集中安置区</t>
  </si>
  <si>
    <t>以勒镇庙埂村物流城集中安置区</t>
  </si>
  <si>
    <t>中城镇田坝村兆佳坝片区集中安置区</t>
  </si>
  <si>
    <t>上江镇大墩子集中安置区</t>
  </si>
  <si>
    <t>碗厂镇碗厂村高炉沟集中安置区</t>
  </si>
  <si>
    <t>甸阳镇沙坝脚社区县城易地扶贫搬迁安置区集中安置区</t>
  </si>
  <si>
    <t>扎西镇龙溪小区集中安置区</t>
  </si>
  <si>
    <t>称杆乡恩感思落集中安置区</t>
  </si>
  <si>
    <t>六库镇丙舍坝集中安置区（含福贡县跨县安置）</t>
  </si>
  <si>
    <t>永丰镇绿荫社区永丰安置区集中安置区</t>
  </si>
  <si>
    <t>落雁乡桦槁坪集中安置区</t>
  </si>
  <si>
    <t>马白镇南山幸福社区集中安置区</t>
  </si>
  <si>
    <r>
      <rPr>
        <b/>
        <sz val="16"/>
        <rFont val="Times New Roman"/>
      </rPr>
      <t>2022</t>
    </r>
    <r>
      <rPr>
        <b/>
        <sz val="16"/>
        <rFont val="宋体"/>
      </rPr>
      <t>年</t>
    </r>
    <r>
      <rPr>
        <b/>
        <sz val="16"/>
        <rFont val="Times New Roman"/>
      </rPr>
      <t>10</t>
    </r>
    <r>
      <rPr>
        <b/>
        <sz val="16"/>
        <rFont val="宋体"/>
      </rPr>
      <t>月底防止返贫监测对象务工进度表</t>
    </r>
  </si>
  <si>
    <t>监测人口</t>
  </si>
  <si>
    <t>脱贫人口</t>
  </si>
  <si>
    <t>脱贫人口务工汇总表</t>
  </si>
  <si>
    <r>
      <rPr>
        <b/>
        <sz val="12"/>
        <rFont val="宋体"/>
      </rPr>
      <t>单位：人</t>
    </r>
  </si>
  <si>
    <r>
      <rPr>
        <b/>
        <sz val="12"/>
        <rFont val="宋体"/>
      </rPr>
      <t>序号</t>
    </r>
  </si>
  <si>
    <r>
      <rPr>
        <b/>
        <sz val="12"/>
        <rFont val="宋体"/>
      </rPr>
      <t>省</t>
    </r>
  </si>
  <si>
    <r>
      <rPr>
        <b/>
        <sz val="12"/>
        <rFont val="宋体"/>
      </rPr>
      <t>市</t>
    </r>
  </si>
  <si>
    <r>
      <rPr>
        <b/>
        <sz val="12"/>
        <rFont val="宋体"/>
      </rPr>
      <t>县</t>
    </r>
  </si>
  <si>
    <r>
      <rPr>
        <b/>
        <sz val="12"/>
        <rFont val="宋体"/>
      </rPr>
      <t>防止返贫监测对象人数</t>
    </r>
  </si>
  <si>
    <t>务工人数</t>
  </si>
  <si>
    <t>省外务工人数</t>
  </si>
  <si>
    <t>省内县外务工人数</t>
  </si>
  <si>
    <t>县内务工人数</t>
  </si>
  <si>
    <t>国外务工</t>
  </si>
  <si>
    <t>公益性岗位安置人数</t>
  </si>
  <si>
    <t>公益性岗位安置</t>
  </si>
  <si>
    <r>
      <rPr>
        <b/>
        <sz val="10"/>
        <rFont val="方正书宋_GBK"/>
      </rPr>
      <t>务工</t>
    </r>
    <r>
      <rPr>
        <b/>
        <sz val="10"/>
        <rFont val="Arial"/>
      </rPr>
      <t>+</t>
    </r>
    <r>
      <rPr>
        <b/>
        <sz val="10"/>
        <rFont val="方正书宋_GBK"/>
      </rPr>
      <t>公益岗</t>
    </r>
  </si>
  <si>
    <r>
      <rPr>
        <b/>
        <sz val="12"/>
        <color theme="1"/>
        <rFont val="宋体"/>
      </rPr>
      <t>县</t>
    </r>
  </si>
  <si>
    <r>
      <rPr>
        <b/>
        <sz val="12"/>
        <rFont val="宋体"/>
      </rPr>
      <t>截至</t>
    </r>
    <r>
      <rPr>
        <b/>
        <sz val="12"/>
        <rFont val="Times New Roman"/>
      </rPr>
      <t>2022</t>
    </r>
    <r>
      <rPr>
        <b/>
        <sz val="12"/>
        <rFont val="宋体"/>
      </rPr>
      <t>年</t>
    </r>
    <r>
      <rPr>
        <b/>
        <sz val="12"/>
        <rFont val="Times New Roman"/>
      </rPr>
      <t>10</t>
    </r>
    <r>
      <rPr>
        <b/>
        <sz val="12"/>
        <rFont val="宋体"/>
      </rPr>
      <t>月底务工人数</t>
    </r>
  </si>
  <si>
    <r>
      <rPr>
        <b/>
        <sz val="12"/>
        <rFont val="宋体"/>
      </rPr>
      <t>跨省务工人数</t>
    </r>
  </si>
  <si>
    <r>
      <rPr>
        <b/>
        <sz val="12"/>
        <rFont val="宋体"/>
      </rPr>
      <t>省内县外务工人数</t>
    </r>
  </si>
  <si>
    <r>
      <rPr>
        <b/>
        <sz val="12"/>
        <rFont val="宋体"/>
      </rPr>
      <t>县内务工人数</t>
    </r>
  </si>
  <si>
    <r>
      <rPr>
        <b/>
        <sz val="12"/>
        <rFont val="宋体"/>
      </rPr>
      <t>国外务工</t>
    </r>
  </si>
  <si>
    <r>
      <rPr>
        <b/>
        <sz val="12"/>
        <rFont val="宋体"/>
      </rPr>
      <t>其中脱贫人口数</t>
    </r>
  </si>
  <si>
    <r>
      <rPr>
        <b/>
        <sz val="12"/>
        <rFont val="宋体"/>
      </rPr>
      <t>合计</t>
    </r>
  </si>
  <si>
    <r>
      <rPr>
        <sz val="12"/>
        <rFont val="宋体"/>
      </rPr>
      <t>五华区</t>
    </r>
  </si>
  <si>
    <r>
      <rPr>
        <sz val="12"/>
        <rFont val="宋体"/>
      </rPr>
      <t>昆明市</t>
    </r>
  </si>
  <si>
    <r>
      <rPr>
        <sz val="12"/>
        <rFont val="宋体"/>
      </rPr>
      <t>盘龙区</t>
    </r>
  </si>
  <si>
    <r>
      <rPr>
        <sz val="12"/>
        <rFont val="宋体"/>
      </rPr>
      <t>曲靖市</t>
    </r>
  </si>
  <si>
    <r>
      <rPr>
        <sz val="12"/>
        <rFont val="宋体"/>
      </rPr>
      <t>经开区</t>
    </r>
  </si>
  <si>
    <r>
      <rPr>
        <sz val="12"/>
        <rFont val="宋体"/>
      </rPr>
      <t>高新技术产业开发区</t>
    </r>
  </si>
  <si>
    <r>
      <rPr>
        <sz val="12"/>
        <rFont val="宋体"/>
      </rPr>
      <t>云南省</t>
    </r>
  </si>
  <si>
    <r>
      <rPr>
        <sz val="12"/>
        <rFont val="宋体"/>
      </rPr>
      <t>空港经济区</t>
    </r>
  </si>
  <si>
    <r>
      <rPr>
        <sz val="12"/>
        <rFont val="宋体"/>
      </rPr>
      <t>东川区</t>
    </r>
  </si>
  <si>
    <r>
      <rPr>
        <sz val="12"/>
        <rFont val="宋体"/>
      </rPr>
      <t>西山区</t>
    </r>
  </si>
  <si>
    <r>
      <rPr>
        <sz val="12"/>
        <rFont val="宋体"/>
      </rPr>
      <t>晋宁区</t>
    </r>
  </si>
  <si>
    <r>
      <rPr>
        <sz val="12"/>
        <rFont val="宋体"/>
      </rPr>
      <t>富民县</t>
    </r>
  </si>
  <si>
    <r>
      <rPr>
        <sz val="12"/>
        <rFont val="宋体"/>
      </rPr>
      <t>呈贡区</t>
    </r>
  </si>
  <si>
    <r>
      <rPr>
        <sz val="12"/>
        <rFont val="宋体"/>
      </rPr>
      <t>宜良县</t>
    </r>
  </si>
  <si>
    <r>
      <rPr>
        <sz val="12"/>
        <rFont val="宋体"/>
      </rPr>
      <t>石林彝族自治县</t>
    </r>
  </si>
  <si>
    <r>
      <rPr>
        <sz val="12"/>
        <rFont val="宋体"/>
      </rPr>
      <t>嵩明县</t>
    </r>
  </si>
  <si>
    <r>
      <rPr>
        <sz val="12"/>
        <rFont val="宋体"/>
      </rPr>
      <t>禄劝彝族苗族自治县</t>
    </r>
  </si>
  <si>
    <r>
      <rPr>
        <sz val="12"/>
        <rFont val="宋体"/>
      </rPr>
      <t>寻甸回族彝族自治县</t>
    </r>
  </si>
  <si>
    <r>
      <rPr>
        <sz val="12"/>
        <rFont val="宋体"/>
      </rPr>
      <t>经济技术开发区</t>
    </r>
  </si>
  <si>
    <r>
      <rPr>
        <sz val="12"/>
        <rFont val="宋体"/>
      </rPr>
      <t>阳宗海风景名胜区</t>
    </r>
  </si>
  <si>
    <r>
      <rPr>
        <sz val="12"/>
        <rFont val="宋体"/>
      </rPr>
      <t>麒麟区</t>
    </r>
  </si>
  <si>
    <r>
      <rPr>
        <sz val="12"/>
        <rFont val="宋体"/>
      </rPr>
      <t>安宁市</t>
    </r>
  </si>
  <si>
    <r>
      <rPr>
        <sz val="12"/>
        <rFont val="宋体"/>
      </rPr>
      <t>马龙区</t>
    </r>
  </si>
  <si>
    <r>
      <rPr>
        <sz val="12"/>
        <rFont val="宋体"/>
      </rPr>
      <t>陆良县</t>
    </r>
  </si>
  <si>
    <r>
      <rPr>
        <sz val="12"/>
        <rFont val="宋体"/>
      </rPr>
      <t>师宗县</t>
    </r>
  </si>
  <si>
    <r>
      <rPr>
        <sz val="12"/>
        <rFont val="宋体"/>
      </rPr>
      <t>罗平县</t>
    </r>
  </si>
  <si>
    <r>
      <rPr>
        <sz val="12"/>
        <rFont val="宋体"/>
      </rPr>
      <t>富源县</t>
    </r>
  </si>
  <si>
    <r>
      <rPr>
        <sz val="12"/>
        <rFont val="宋体"/>
      </rPr>
      <t>会泽县</t>
    </r>
  </si>
  <si>
    <r>
      <rPr>
        <sz val="12"/>
        <rFont val="宋体"/>
      </rPr>
      <t>沾益区</t>
    </r>
  </si>
  <si>
    <r>
      <rPr>
        <sz val="12"/>
        <rFont val="宋体"/>
      </rPr>
      <t>宣威市</t>
    </r>
  </si>
  <si>
    <r>
      <rPr>
        <sz val="12"/>
        <rFont val="宋体"/>
      </rPr>
      <t>玉溪市</t>
    </r>
  </si>
  <si>
    <r>
      <rPr>
        <sz val="12"/>
        <rFont val="宋体"/>
      </rPr>
      <t>红塔区</t>
    </r>
  </si>
  <si>
    <r>
      <rPr>
        <sz val="12"/>
        <rFont val="宋体"/>
      </rPr>
      <t>江川区</t>
    </r>
  </si>
  <si>
    <r>
      <rPr>
        <sz val="12"/>
        <rFont val="宋体"/>
      </rPr>
      <t>澄江市</t>
    </r>
  </si>
  <si>
    <r>
      <rPr>
        <sz val="12"/>
        <rFont val="宋体"/>
      </rPr>
      <t>通海县</t>
    </r>
  </si>
  <si>
    <r>
      <rPr>
        <sz val="12"/>
        <rFont val="宋体"/>
      </rPr>
      <t>华宁县</t>
    </r>
  </si>
  <si>
    <r>
      <rPr>
        <sz val="12"/>
        <rFont val="宋体"/>
      </rPr>
      <t>易门县</t>
    </r>
  </si>
  <si>
    <r>
      <rPr>
        <sz val="12"/>
        <rFont val="宋体"/>
      </rPr>
      <t>峨山彝族自治县</t>
    </r>
  </si>
  <si>
    <r>
      <rPr>
        <sz val="12"/>
        <rFont val="宋体"/>
      </rPr>
      <t>新平彝族傣族自治县</t>
    </r>
  </si>
  <si>
    <r>
      <rPr>
        <sz val="12"/>
        <rFont val="宋体"/>
      </rPr>
      <t>元江哈尼族彝族傣族自治县</t>
    </r>
  </si>
  <si>
    <r>
      <rPr>
        <sz val="12"/>
        <rFont val="宋体"/>
      </rPr>
      <t>保山市</t>
    </r>
  </si>
  <si>
    <r>
      <rPr>
        <sz val="12"/>
        <rFont val="宋体"/>
      </rPr>
      <t>隆阳区</t>
    </r>
  </si>
  <si>
    <r>
      <rPr>
        <sz val="12"/>
        <rFont val="宋体"/>
      </rPr>
      <t>施甸县</t>
    </r>
  </si>
  <si>
    <r>
      <rPr>
        <sz val="12"/>
        <rFont val="宋体"/>
      </rPr>
      <t>腾冲市</t>
    </r>
  </si>
  <si>
    <r>
      <rPr>
        <sz val="12"/>
        <rFont val="宋体"/>
      </rPr>
      <t>龙陵县</t>
    </r>
  </si>
  <si>
    <r>
      <rPr>
        <sz val="12"/>
        <rFont val="宋体"/>
      </rPr>
      <t>昌宁县</t>
    </r>
  </si>
  <si>
    <r>
      <rPr>
        <sz val="12"/>
        <rFont val="宋体"/>
      </rPr>
      <t>昭通市</t>
    </r>
  </si>
  <si>
    <r>
      <rPr>
        <sz val="12"/>
        <rFont val="宋体"/>
      </rPr>
      <t>昭阳区</t>
    </r>
  </si>
  <si>
    <r>
      <rPr>
        <sz val="12"/>
        <rFont val="宋体"/>
      </rPr>
      <t>鲁甸县</t>
    </r>
  </si>
  <si>
    <r>
      <rPr>
        <sz val="12"/>
        <rFont val="宋体"/>
      </rPr>
      <t>巧家县</t>
    </r>
  </si>
  <si>
    <r>
      <rPr>
        <sz val="12"/>
        <rFont val="宋体"/>
      </rPr>
      <t>盐津县</t>
    </r>
  </si>
  <si>
    <r>
      <rPr>
        <sz val="12"/>
        <rFont val="宋体"/>
      </rPr>
      <t>大关县</t>
    </r>
  </si>
  <si>
    <r>
      <rPr>
        <sz val="12"/>
        <rFont val="宋体"/>
      </rPr>
      <t>永善县</t>
    </r>
  </si>
  <si>
    <r>
      <rPr>
        <sz val="12"/>
        <rFont val="宋体"/>
      </rPr>
      <t>绥江县</t>
    </r>
  </si>
  <si>
    <r>
      <rPr>
        <sz val="12"/>
        <rFont val="宋体"/>
      </rPr>
      <t>镇雄县</t>
    </r>
  </si>
  <si>
    <r>
      <rPr>
        <sz val="12"/>
        <rFont val="宋体"/>
      </rPr>
      <t>彝良县</t>
    </r>
  </si>
  <si>
    <r>
      <rPr>
        <sz val="12"/>
        <rFont val="宋体"/>
      </rPr>
      <t>威信县</t>
    </r>
  </si>
  <si>
    <r>
      <rPr>
        <sz val="12"/>
        <rFont val="宋体"/>
      </rPr>
      <t>水富市</t>
    </r>
  </si>
  <si>
    <r>
      <rPr>
        <sz val="12"/>
        <rFont val="宋体"/>
      </rPr>
      <t>丽江市</t>
    </r>
  </si>
  <si>
    <r>
      <rPr>
        <sz val="12"/>
        <rFont val="宋体"/>
      </rPr>
      <t>古城区</t>
    </r>
  </si>
  <si>
    <r>
      <rPr>
        <sz val="12"/>
        <rFont val="宋体"/>
      </rPr>
      <t>玉龙纳西族自治县</t>
    </r>
  </si>
  <si>
    <r>
      <rPr>
        <sz val="12"/>
        <rFont val="宋体"/>
      </rPr>
      <t>永胜县</t>
    </r>
  </si>
  <si>
    <r>
      <rPr>
        <sz val="12"/>
        <rFont val="宋体"/>
      </rPr>
      <t>华坪县</t>
    </r>
  </si>
  <si>
    <r>
      <rPr>
        <sz val="12"/>
        <rFont val="宋体"/>
      </rPr>
      <t>宁蒗彝族自治县</t>
    </r>
  </si>
  <si>
    <r>
      <rPr>
        <sz val="12"/>
        <rFont val="宋体"/>
      </rPr>
      <t>普洱市</t>
    </r>
  </si>
  <si>
    <r>
      <rPr>
        <sz val="12"/>
        <rFont val="宋体"/>
      </rPr>
      <t>思茅区</t>
    </r>
  </si>
  <si>
    <r>
      <rPr>
        <sz val="12"/>
        <rFont val="宋体"/>
      </rPr>
      <t>宁洱哈尼族彝族自治县</t>
    </r>
  </si>
  <si>
    <r>
      <rPr>
        <sz val="12"/>
        <rFont val="宋体"/>
      </rPr>
      <t>墨江哈尼族自治县</t>
    </r>
  </si>
  <si>
    <r>
      <rPr>
        <sz val="12"/>
        <rFont val="宋体"/>
      </rPr>
      <t>景东彝族自治县</t>
    </r>
  </si>
  <si>
    <r>
      <rPr>
        <sz val="12"/>
        <rFont val="宋体"/>
      </rPr>
      <t>景谷傣族彝族自治县</t>
    </r>
  </si>
  <si>
    <r>
      <rPr>
        <sz val="12"/>
        <rFont val="宋体"/>
      </rPr>
      <t>镇沅彝族哈尼族拉祜族自治县</t>
    </r>
  </si>
  <si>
    <r>
      <rPr>
        <sz val="12"/>
        <rFont val="宋体"/>
      </rPr>
      <t>江城哈尼族彝族自治县</t>
    </r>
  </si>
  <si>
    <r>
      <rPr>
        <sz val="12"/>
        <rFont val="宋体"/>
      </rPr>
      <t>孟连傣族拉祜族佤族自治县</t>
    </r>
  </si>
  <si>
    <r>
      <rPr>
        <sz val="12"/>
        <rFont val="宋体"/>
      </rPr>
      <t>澜沧拉祜族自治县</t>
    </r>
  </si>
  <si>
    <r>
      <rPr>
        <sz val="12"/>
        <rFont val="宋体"/>
      </rPr>
      <t>西盟佤族自治县</t>
    </r>
  </si>
  <si>
    <r>
      <rPr>
        <sz val="12"/>
        <rFont val="宋体"/>
      </rPr>
      <t>临沧市</t>
    </r>
  </si>
  <si>
    <r>
      <rPr>
        <sz val="12"/>
        <rFont val="宋体"/>
      </rPr>
      <t>临翔区</t>
    </r>
  </si>
  <si>
    <r>
      <rPr>
        <sz val="12"/>
        <rFont val="宋体"/>
      </rPr>
      <t>凤庆县</t>
    </r>
  </si>
  <si>
    <r>
      <rPr>
        <sz val="12"/>
        <rFont val="宋体"/>
      </rPr>
      <t>云县</t>
    </r>
  </si>
  <si>
    <r>
      <rPr>
        <sz val="12"/>
        <rFont val="宋体"/>
      </rPr>
      <t>永德县</t>
    </r>
  </si>
  <si>
    <r>
      <rPr>
        <sz val="12"/>
        <rFont val="宋体"/>
      </rPr>
      <t>镇康县</t>
    </r>
  </si>
  <si>
    <r>
      <rPr>
        <sz val="12"/>
        <rFont val="宋体"/>
      </rPr>
      <t>双江拉祜族佤族布朗族傣族自治县</t>
    </r>
  </si>
  <si>
    <r>
      <rPr>
        <sz val="12"/>
        <rFont val="宋体"/>
      </rPr>
      <t>耿马傣族佤族自治县</t>
    </r>
  </si>
  <si>
    <r>
      <rPr>
        <sz val="12"/>
        <rFont val="宋体"/>
      </rPr>
      <t>沧源佤族自治县</t>
    </r>
  </si>
  <si>
    <r>
      <rPr>
        <sz val="12"/>
        <rFont val="宋体"/>
      </rPr>
      <t>楚雄彝族自治州</t>
    </r>
  </si>
  <si>
    <r>
      <rPr>
        <sz val="12"/>
        <rFont val="宋体"/>
      </rPr>
      <t>楚雄市</t>
    </r>
  </si>
  <si>
    <r>
      <rPr>
        <sz val="12"/>
        <rFont val="宋体"/>
      </rPr>
      <t>双柏县</t>
    </r>
  </si>
  <si>
    <r>
      <rPr>
        <sz val="12"/>
        <rFont val="宋体"/>
      </rPr>
      <t>牟定县</t>
    </r>
  </si>
  <si>
    <r>
      <rPr>
        <sz val="12"/>
        <rFont val="宋体"/>
      </rPr>
      <t>南华县</t>
    </r>
  </si>
  <si>
    <r>
      <rPr>
        <sz val="12"/>
        <rFont val="宋体"/>
      </rPr>
      <t>姚安县</t>
    </r>
  </si>
  <si>
    <r>
      <rPr>
        <sz val="12"/>
        <rFont val="宋体"/>
      </rPr>
      <t>大姚县</t>
    </r>
  </si>
  <si>
    <r>
      <rPr>
        <sz val="12"/>
        <rFont val="宋体"/>
      </rPr>
      <t>永仁县</t>
    </r>
  </si>
  <si>
    <r>
      <rPr>
        <sz val="12"/>
        <rFont val="宋体"/>
      </rPr>
      <t>元谋县</t>
    </r>
  </si>
  <si>
    <r>
      <rPr>
        <sz val="12"/>
        <rFont val="宋体"/>
      </rPr>
      <t>武定县</t>
    </r>
  </si>
  <si>
    <r>
      <rPr>
        <sz val="12"/>
        <rFont val="宋体"/>
      </rPr>
      <t>禄丰市</t>
    </r>
  </si>
  <si>
    <r>
      <rPr>
        <sz val="12"/>
        <rFont val="宋体"/>
      </rPr>
      <t>红河哈尼族彝族自治州</t>
    </r>
  </si>
  <si>
    <r>
      <rPr>
        <sz val="12"/>
        <rFont val="宋体"/>
      </rPr>
      <t>个旧市</t>
    </r>
  </si>
  <si>
    <r>
      <rPr>
        <sz val="12"/>
        <rFont val="宋体"/>
      </rPr>
      <t>开远市</t>
    </r>
  </si>
  <si>
    <r>
      <rPr>
        <sz val="12"/>
        <rFont val="宋体"/>
      </rPr>
      <t>蒙自市</t>
    </r>
  </si>
  <si>
    <r>
      <rPr>
        <sz val="12"/>
        <rFont val="宋体"/>
      </rPr>
      <t>屏边苗族自治县</t>
    </r>
  </si>
  <si>
    <r>
      <rPr>
        <sz val="12"/>
        <rFont val="宋体"/>
      </rPr>
      <t>建水县</t>
    </r>
  </si>
  <si>
    <r>
      <rPr>
        <sz val="12"/>
        <rFont val="宋体"/>
      </rPr>
      <t>石屏县</t>
    </r>
  </si>
  <si>
    <r>
      <rPr>
        <sz val="12"/>
        <rFont val="宋体"/>
      </rPr>
      <t>弥勒市</t>
    </r>
  </si>
  <si>
    <r>
      <rPr>
        <sz val="12"/>
        <rFont val="宋体"/>
      </rPr>
      <t>泸西县</t>
    </r>
  </si>
  <si>
    <r>
      <rPr>
        <sz val="12"/>
        <rFont val="宋体"/>
      </rPr>
      <t>元阳县</t>
    </r>
  </si>
  <si>
    <r>
      <rPr>
        <sz val="12"/>
        <rFont val="宋体"/>
      </rPr>
      <t>红河县</t>
    </r>
  </si>
  <si>
    <r>
      <rPr>
        <sz val="12"/>
        <rFont val="宋体"/>
      </rPr>
      <t>金平苗族瑶族傣族自治县</t>
    </r>
  </si>
  <si>
    <r>
      <rPr>
        <sz val="12"/>
        <rFont val="宋体"/>
      </rPr>
      <t>绿春县</t>
    </r>
  </si>
  <si>
    <r>
      <rPr>
        <sz val="12"/>
        <rFont val="宋体"/>
      </rPr>
      <t>河口瑶族自治县</t>
    </r>
  </si>
  <si>
    <r>
      <rPr>
        <sz val="12"/>
        <rFont val="宋体"/>
      </rPr>
      <t>文山壮族苗族自治州</t>
    </r>
  </si>
  <si>
    <r>
      <rPr>
        <sz val="12"/>
        <rFont val="宋体"/>
      </rPr>
      <t>文山市</t>
    </r>
  </si>
  <si>
    <r>
      <rPr>
        <sz val="12"/>
        <rFont val="宋体"/>
      </rPr>
      <t>砚山县</t>
    </r>
  </si>
  <si>
    <r>
      <rPr>
        <sz val="12"/>
        <rFont val="宋体"/>
      </rPr>
      <t>西畴县</t>
    </r>
  </si>
  <si>
    <r>
      <rPr>
        <sz val="12"/>
        <rFont val="宋体"/>
      </rPr>
      <t>麻栗坡县</t>
    </r>
  </si>
  <si>
    <r>
      <rPr>
        <sz val="12"/>
        <rFont val="宋体"/>
      </rPr>
      <t>马关县</t>
    </r>
  </si>
  <si>
    <r>
      <rPr>
        <sz val="12"/>
        <rFont val="宋体"/>
      </rPr>
      <t>丘北县</t>
    </r>
  </si>
  <si>
    <r>
      <rPr>
        <sz val="12"/>
        <rFont val="宋体"/>
      </rPr>
      <t>广南县</t>
    </r>
  </si>
  <si>
    <r>
      <rPr>
        <sz val="12"/>
        <rFont val="宋体"/>
      </rPr>
      <t>富宁县</t>
    </r>
  </si>
  <si>
    <r>
      <rPr>
        <sz val="12"/>
        <rFont val="宋体"/>
      </rPr>
      <t>西双版纳傣族自治州</t>
    </r>
  </si>
  <si>
    <r>
      <rPr>
        <sz val="12"/>
        <rFont val="宋体"/>
      </rPr>
      <t>景洪市</t>
    </r>
  </si>
  <si>
    <r>
      <rPr>
        <sz val="12"/>
        <rFont val="宋体"/>
      </rPr>
      <t>勐海县</t>
    </r>
  </si>
  <si>
    <r>
      <rPr>
        <sz val="12"/>
        <rFont val="宋体"/>
      </rPr>
      <t>勐腊县</t>
    </r>
  </si>
  <si>
    <r>
      <rPr>
        <sz val="12"/>
        <rFont val="宋体"/>
      </rPr>
      <t>大理白族自治州</t>
    </r>
  </si>
  <si>
    <r>
      <rPr>
        <sz val="12"/>
        <rFont val="宋体"/>
      </rPr>
      <t>大理市</t>
    </r>
  </si>
  <si>
    <r>
      <rPr>
        <sz val="12"/>
        <rFont val="宋体"/>
      </rPr>
      <t>漾濞彝族自治县</t>
    </r>
  </si>
  <si>
    <r>
      <rPr>
        <sz val="12"/>
        <rFont val="宋体"/>
      </rPr>
      <t>祥云县</t>
    </r>
  </si>
  <si>
    <r>
      <rPr>
        <sz val="12"/>
        <rFont val="宋体"/>
      </rPr>
      <t>宾川县</t>
    </r>
  </si>
  <si>
    <r>
      <rPr>
        <sz val="12"/>
        <rFont val="宋体"/>
      </rPr>
      <t>弥渡县</t>
    </r>
  </si>
  <si>
    <r>
      <rPr>
        <sz val="12"/>
        <rFont val="宋体"/>
      </rPr>
      <t>南涧彝族自治县</t>
    </r>
  </si>
  <si>
    <r>
      <rPr>
        <sz val="12"/>
        <rFont val="宋体"/>
      </rPr>
      <t>巍山彝族回族自治县</t>
    </r>
  </si>
  <si>
    <r>
      <rPr>
        <sz val="12"/>
        <rFont val="宋体"/>
      </rPr>
      <t>永平县</t>
    </r>
  </si>
  <si>
    <r>
      <rPr>
        <sz val="12"/>
        <rFont val="宋体"/>
      </rPr>
      <t>云龙县</t>
    </r>
  </si>
  <si>
    <r>
      <rPr>
        <sz val="12"/>
        <rFont val="宋体"/>
      </rPr>
      <t>洱源县</t>
    </r>
  </si>
  <si>
    <r>
      <rPr>
        <sz val="12"/>
        <rFont val="宋体"/>
      </rPr>
      <t>剑川县</t>
    </r>
  </si>
  <si>
    <r>
      <rPr>
        <sz val="12"/>
        <rFont val="宋体"/>
      </rPr>
      <t>鹤庆县</t>
    </r>
  </si>
  <si>
    <r>
      <rPr>
        <sz val="12"/>
        <rFont val="宋体"/>
      </rPr>
      <t>德宏傣族景颇族自治州</t>
    </r>
  </si>
  <si>
    <r>
      <rPr>
        <sz val="12"/>
        <rFont val="宋体"/>
      </rPr>
      <t>瑞丽市</t>
    </r>
  </si>
  <si>
    <r>
      <rPr>
        <sz val="12"/>
        <rFont val="宋体"/>
      </rPr>
      <t>芒市</t>
    </r>
  </si>
  <si>
    <r>
      <rPr>
        <sz val="12"/>
        <rFont val="宋体"/>
      </rPr>
      <t>梁河县</t>
    </r>
  </si>
  <si>
    <r>
      <rPr>
        <sz val="12"/>
        <rFont val="宋体"/>
      </rPr>
      <t>盈江县</t>
    </r>
  </si>
  <si>
    <r>
      <rPr>
        <sz val="12"/>
        <rFont val="宋体"/>
      </rPr>
      <t>陇川县</t>
    </r>
  </si>
  <si>
    <r>
      <rPr>
        <sz val="12"/>
        <rFont val="宋体"/>
      </rPr>
      <t>怒江傈僳族自治州</t>
    </r>
  </si>
  <si>
    <r>
      <rPr>
        <sz val="12"/>
        <rFont val="宋体"/>
      </rPr>
      <t>泸水市</t>
    </r>
  </si>
  <si>
    <r>
      <rPr>
        <sz val="12"/>
        <rFont val="宋体"/>
      </rPr>
      <t>福贡县</t>
    </r>
  </si>
  <si>
    <r>
      <rPr>
        <sz val="12"/>
        <rFont val="宋体"/>
      </rPr>
      <t>贡山独龙族怒族自治县</t>
    </r>
  </si>
  <si>
    <r>
      <rPr>
        <sz val="12"/>
        <rFont val="宋体"/>
      </rPr>
      <t>兰坪白族普米族自治县</t>
    </r>
  </si>
  <si>
    <r>
      <rPr>
        <sz val="12"/>
        <rFont val="宋体"/>
      </rPr>
      <t>迪庆藏族自治州</t>
    </r>
  </si>
  <si>
    <r>
      <rPr>
        <sz val="12"/>
        <rFont val="宋体"/>
      </rPr>
      <t>香格里拉县</t>
    </r>
  </si>
  <si>
    <r>
      <rPr>
        <sz val="12"/>
        <rFont val="宋体"/>
      </rPr>
      <t>德钦县</t>
    </r>
  </si>
  <si>
    <r>
      <rPr>
        <sz val="12"/>
        <rFont val="宋体"/>
      </rPr>
      <t>维西傈僳族自治县</t>
    </r>
  </si>
  <si>
    <r>
      <rPr>
        <sz val="12"/>
        <rFont val="宋体"/>
      </rPr>
      <t>注：</t>
    </r>
    <r>
      <rPr>
        <sz val="12"/>
        <rFont val="Times New Roman"/>
      </rPr>
      <t xml:space="preserve">
1</t>
    </r>
    <r>
      <rPr>
        <sz val="12"/>
        <rFont val="宋体"/>
      </rPr>
      <t>、数据截止时间为</t>
    </r>
    <r>
      <rPr>
        <sz val="12"/>
        <rFont val="Times New Roman"/>
      </rPr>
      <t>2022</t>
    </r>
    <r>
      <rPr>
        <sz val="12"/>
        <rFont val="宋体"/>
      </rPr>
      <t>年</t>
    </r>
    <r>
      <rPr>
        <sz val="12"/>
        <rFont val="Times New Roman"/>
      </rPr>
      <t>10</t>
    </r>
    <r>
      <rPr>
        <sz val="12"/>
        <rFont val="宋体"/>
      </rPr>
      <t>月底。</t>
    </r>
    <r>
      <rPr>
        <sz val="12"/>
        <rFont val="Times New Roman"/>
      </rPr>
      <t xml:space="preserve">
2</t>
    </r>
    <r>
      <rPr>
        <sz val="12"/>
        <rFont val="宋体"/>
      </rPr>
      <t>、公益性岗位安置人数是指务工监测模块就业渠道为公益岗位。</t>
    </r>
  </si>
  <si>
    <t>云南省2021年衔接推进乡村振兴补助资金绩效评价指标评分等次汇总表</t>
  </si>
  <si>
    <t>县（区）</t>
  </si>
  <si>
    <t>总体评价等次</t>
  </si>
  <si>
    <t>巩固拓展脱贫攻坚成果和乡村振兴任务</t>
  </si>
  <si>
    <t>以工代赈任务</t>
  </si>
  <si>
    <t>少数民族发展任务</t>
  </si>
  <si>
    <t>欠发达国有农场巩固提升任务</t>
  </si>
  <si>
    <t>欠发达国有林场巩固提升任务</t>
  </si>
  <si>
    <r>
      <rPr>
        <sz val="11"/>
        <color indexed="64"/>
        <rFont val="宋体"/>
      </rPr>
      <t xml:space="preserve"> </t>
    </r>
    <r>
      <rPr>
        <sz val="11"/>
        <color indexed="64"/>
        <rFont val="宋体"/>
      </rPr>
      <t>鹤庆县</t>
    </r>
  </si>
  <si>
    <r>
      <rPr>
        <sz val="11"/>
        <color indexed="64"/>
        <rFont val="宋体"/>
      </rPr>
      <t xml:space="preserve"> </t>
    </r>
    <r>
      <rPr>
        <sz val="11"/>
        <color indexed="64"/>
        <rFont val="宋体"/>
      </rPr>
      <t>B</t>
    </r>
  </si>
  <si>
    <t xml:space="preserve">   </t>
  </si>
  <si>
    <r>
      <rPr>
        <sz val="11"/>
        <color indexed="64"/>
        <rFont val="宋体"/>
      </rPr>
      <t xml:space="preserve"> </t>
    </r>
    <r>
      <rPr>
        <sz val="11"/>
        <color indexed="64"/>
        <rFont val="宋体"/>
      </rPr>
      <t>南涧彝族自治县</t>
    </r>
  </si>
  <si>
    <r>
      <rPr>
        <sz val="11"/>
        <color indexed="64"/>
        <rFont val="宋体"/>
      </rPr>
      <t xml:space="preserve"> </t>
    </r>
    <r>
      <rPr>
        <sz val="11"/>
        <color indexed="64"/>
        <rFont val="宋体"/>
      </rPr>
      <t>C</t>
    </r>
  </si>
  <si>
    <r>
      <rPr>
        <sz val="11"/>
        <color indexed="64"/>
        <rFont val="宋体"/>
      </rPr>
      <t xml:space="preserve"> </t>
    </r>
    <r>
      <rPr>
        <sz val="11"/>
        <color indexed="64"/>
        <rFont val="宋体"/>
      </rPr>
      <t>漾濞彝族自治县</t>
    </r>
  </si>
  <si>
    <r>
      <rPr>
        <sz val="11"/>
        <color indexed="64"/>
        <rFont val="宋体"/>
      </rPr>
      <t xml:space="preserve"> </t>
    </r>
    <r>
      <rPr>
        <sz val="11"/>
        <color indexed="64"/>
        <rFont val="宋体"/>
      </rPr>
      <t>洱源县</t>
    </r>
  </si>
  <si>
    <r>
      <rPr>
        <sz val="11"/>
        <color indexed="64"/>
        <rFont val="宋体"/>
      </rPr>
      <t xml:space="preserve"> </t>
    </r>
    <r>
      <rPr>
        <sz val="11"/>
        <color indexed="64"/>
        <rFont val="宋体"/>
      </rPr>
      <t>剑川县</t>
    </r>
  </si>
  <si>
    <r>
      <rPr>
        <sz val="11"/>
        <color indexed="64"/>
        <rFont val="宋体"/>
      </rPr>
      <t xml:space="preserve"> </t>
    </r>
    <r>
      <rPr>
        <sz val="11"/>
        <color indexed="64"/>
        <rFont val="宋体"/>
      </rPr>
      <t>巍山彝族回族自治县</t>
    </r>
  </si>
  <si>
    <r>
      <rPr>
        <sz val="11"/>
        <color indexed="64"/>
        <rFont val="宋体"/>
      </rPr>
      <t xml:space="preserve"> </t>
    </r>
    <r>
      <rPr>
        <sz val="11"/>
        <color indexed="64"/>
        <rFont val="宋体"/>
      </rPr>
      <t>永平县</t>
    </r>
  </si>
  <si>
    <r>
      <rPr>
        <sz val="11"/>
        <color indexed="64"/>
        <rFont val="宋体"/>
      </rPr>
      <t xml:space="preserve"> </t>
    </r>
    <r>
      <rPr>
        <sz val="11"/>
        <color indexed="64"/>
        <rFont val="宋体"/>
      </rPr>
      <t>云龙县</t>
    </r>
  </si>
  <si>
    <r>
      <rPr>
        <sz val="11"/>
        <color indexed="64"/>
        <rFont val="宋体"/>
      </rPr>
      <t xml:space="preserve"> </t>
    </r>
    <r>
      <rPr>
        <sz val="11"/>
        <color indexed="64"/>
        <rFont val="宋体"/>
      </rPr>
      <t>宾川县</t>
    </r>
  </si>
  <si>
    <r>
      <rPr>
        <sz val="11"/>
        <color indexed="64"/>
        <rFont val="宋体"/>
      </rPr>
      <t xml:space="preserve"> </t>
    </r>
    <r>
      <rPr>
        <sz val="11"/>
        <color indexed="64"/>
        <rFont val="宋体"/>
      </rPr>
      <t>D</t>
    </r>
  </si>
  <si>
    <r>
      <rPr>
        <sz val="11"/>
        <color indexed="64"/>
        <rFont val="宋体"/>
      </rPr>
      <t xml:space="preserve"> </t>
    </r>
    <r>
      <rPr>
        <sz val="11"/>
        <color indexed="64"/>
        <rFont val="宋体"/>
      </rPr>
      <t>弥渡县</t>
    </r>
  </si>
  <si>
    <r>
      <rPr>
        <sz val="11"/>
        <color indexed="64"/>
        <rFont val="宋体"/>
      </rPr>
      <t xml:space="preserve"> </t>
    </r>
    <r>
      <rPr>
        <sz val="11"/>
        <color indexed="64"/>
        <rFont val="宋体"/>
      </rPr>
      <t>A</t>
    </r>
  </si>
  <si>
    <r>
      <rPr>
        <sz val="11"/>
        <color indexed="64"/>
        <rFont val="宋体"/>
      </rPr>
      <t xml:space="preserve"> </t>
    </r>
    <r>
      <rPr>
        <sz val="11"/>
        <color indexed="64"/>
        <rFont val="宋体"/>
      </rPr>
      <t>祥云县</t>
    </r>
  </si>
  <si>
    <r>
      <rPr>
        <sz val="11"/>
        <color indexed="64"/>
        <rFont val="宋体"/>
      </rPr>
      <t xml:space="preserve"> </t>
    </r>
    <r>
      <rPr>
        <sz val="11"/>
        <color indexed="64"/>
        <rFont val="宋体"/>
      </rPr>
      <t>大理市</t>
    </r>
  </si>
  <si>
    <r>
      <rPr>
        <sz val="11"/>
        <color indexed="64"/>
        <rFont val="宋体"/>
      </rPr>
      <t xml:space="preserve"> </t>
    </r>
    <r>
      <rPr>
        <sz val="11"/>
        <color indexed="64"/>
        <rFont val="宋体"/>
      </rPr>
      <t>大关县</t>
    </r>
  </si>
  <si>
    <r>
      <rPr>
        <sz val="11"/>
        <color indexed="64"/>
        <rFont val="宋体"/>
      </rPr>
      <t xml:space="preserve"> </t>
    </r>
    <r>
      <rPr>
        <sz val="11"/>
        <color indexed="64"/>
        <rFont val="宋体"/>
      </rPr>
      <t>绥江县</t>
    </r>
  </si>
  <si>
    <r>
      <rPr>
        <sz val="11"/>
        <color indexed="64"/>
        <rFont val="宋体"/>
      </rPr>
      <t xml:space="preserve"> </t>
    </r>
    <r>
      <rPr>
        <sz val="11"/>
        <color indexed="64"/>
        <rFont val="宋体"/>
      </rPr>
      <t>巧家县</t>
    </r>
  </si>
  <si>
    <r>
      <rPr>
        <sz val="11"/>
        <color indexed="64"/>
        <rFont val="宋体"/>
      </rPr>
      <t xml:space="preserve"> </t>
    </r>
    <r>
      <rPr>
        <sz val="11"/>
        <color indexed="64"/>
        <rFont val="宋体"/>
      </rPr>
      <t>鲁甸县</t>
    </r>
  </si>
  <si>
    <r>
      <rPr>
        <sz val="11"/>
        <color indexed="64"/>
        <rFont val="宋体"/>
      </rPr>
      <t xml:space="preserve"> </t>
    </r>
    <r>
      <rPr>
        <sz val="11"/>
        <color indexed="64"/>
        <rFont val="宋体"/>
      </rPr>
      <t>威信县</t>
    </r>
  </si>
  <si>
    <r>
      <rPr>
        <sz val="11"/>
        <color indexed="64"/>
        <rFont val="宋体"/>
      </rPr>
      <t xml:space="preserve"> </t>
    </r>
    <r>
      <rPr>
        <sz val="11"/>
        <color indexed="64"/>
        <rFont val="宋体"/>
      </rPr>
      <t>镇雄县</t>
    </r>
  </si>
  <si>
    <r>
      <rPr>
        <sz val="11"/>
        <color indexed="64"/>
        <rFont val="宋体"/>
      </rPr>
      <t xml:space="preserve"> </t>
    </r>
    <r>
      <rPr>
        <sz val="11"/>
        <color indexed="64"/>
        <rFont val="宋体"/>
      </rPr>
      <t>盐津县</t>
    </r>
  </si>
  <si>
    <r>
      <rPr>
        <sz val="11"/>
        <color indexed="64"/>
        <rFont val="宋体"/>
      </rPr>
      <t xml:space="preserve"> </t>
    </r>
    <r>
      <rPr>
        <sz val="11"/>
        <color indexed="64"/>
        <rFont val="宋体"/>
      </rPr>
      <t>永善县</t>
    </r>
  </si>
  <si>
    <r>
      <rPr>
        <sz val="11"/>
        <color indexed="64"/>
        <rFont val="宋体"/>
      </rPr>
      <t xml:space="preserve"> </t>
    </r>
    <r>
      <rPr>
        <sz val="11"/>
        <color indexed="64"/>
        <rFont val="宋体"/>
      </rPr>
      <t>彝良县</t>
    </r>
  </si>
  <si>
    <r>
      <rPr>
        <sz val="11"/>
        <color indexed="64"/>
        <rFont val="宋体"/>
      </rPr>
      <t xml:space="preserve"> </t>
    </r>
    <r>
      <rPr>
        <sz val="11"/>
        <color indexed="64"/>
        <rFont val="宋体"/>
      </rPr>
      <t>昭阳区</t>
    </r>
  </si>
  <si>
    <r>
      <rPr>
        <sz val="11"/>
        <color indexed="64"/>
        <rFont val="宋体"/>
      </rPr>
      <t xml:space="preserve"> </t>
    </r>
    <r>
      <rPr>
        <sz val="11"/>
        <color indexed="64"/>
        <rFont val="宋体"/>
      </rPr>
      <t>水富市</t>
    </r>
  </si>
  <si>
    <r>
      <rPr>
        <sz val="11"/>
        <color indexed="64"/>
        <rFont val="宋体"/>
      </rPr>
      <t xml:space="preserve"> </t>
    </r>
    <r>
      <rPr>
        <sz val="11"/>
        <color indexed="64"/>
        <rFont val="宋体"/>
      </rPr>
      <t>红河县</t>
    </r>
  </si>
  <si>
    <r>
      <rPr>
        <sz val="11"/>
        <color indexed="64"/>
        <rFont val="宋体"/>
      </rPr>
      <t xml:space="preserve"> </t>
    </r>
    <r>
      <rPr>
        <sz val="11"/>
        <color indexed="64"/>
        <rFont val="宋体"/>
      </rPr>
      <t>元阳县</t>
    </r>
  </si>
  <si>
    <r>
      <rPr>
        <sz val="11"/>
        <color indexed="64"/>
        <rFont val="宋体"/>
      </rPr>
      <t xml:space="preserve"> </t>
    </r>
    <r>
      <rPr>
        <sz val="11"/>
        <color indexed="64"/>
        <rFont val="宋体"/>
      </rPr>
      <t>屏边县</t>
    </r>
  </si>
  <si>
    <r>
      <rPr>
        <sz val="11"/>
        <color indexed="64"/>
        <rFont val="宋体"/>
      </rPr>
      <t xml:space="preserve"> </t>
    </r>
    <r>
      <rPr>
        <sz val="11"/>
        <color indexed="64"/>
        <rFont val="宋体"/>
      </rPr>
      <t>绿春县</t>
    </r>
  </si>
  <si>
    <r>
      <rPr>
        <sz val="11"/>
        <color indexed="64"/>
        <rFont val="宋体"/>
      </rPr>
      <t xml:space="preserve"> </t>
    </r>
    <r>
      <rPr>
        <sz val="11"/>
        <color indexed="64"/>
        <rFont val="宋体"/>
      </rPr>
      <t>金平县</t>
    </r>
  </si>
  <si>
    <r>
      <rPr>
        <sz val="11"/>
        <color indexed="64"/>
        <rFont val="宋体"/>
      </rPr>
      <t xml:space="preserve">  </t>
    </r>
    <r>
      <rPr>
        <sz val="11"/>
        <color indexed="64"/>
        <rFont val="宋体"/>
      </rPr>
      <t>A</t>
    </r>
  </si>
  <si>
    <r>
      <rPr>
        <sz val="11"/>
        <color indexed="64"/>
        <rFont val="宋体"/>
      </rPr>
      <t xml:space="preserve"> </t>
    </r>
    <r>
      <rPr>
        <sz val="11"/>
        <color indexed="64"/>
        <rFont val="宋体"/>
      </rPr>
      <t>泸西县</t>
    </r>
  </si>
  <si>
    <r>
      <rPr>
        <sz val="11"/>
        <color indexed="64"/>
        <rFont val="宋体"/>
      </rPr>
      <t xml:space="preserve"> </t>
    </r>
    <r>
      <rPr>
        <sz val="11"/>
        <color indexed="64"/>
        <rFont val="宋体"/>
      </rPr>
      <t>石屏县</t>
    </r>
  </si>
  <si>
    <r>
      <rPr>
        <sz val="11"/>
        <color indexed="64"/>
        <rFont val="宋体"/>
      </rPr>
      <t xml:space="preserve"> </t>
    </r>
    <r>
      <rPr>
        <sz val="11"/>
        <color indexed="64"/>
        <rFont val="宋体"/>
      </rPr>
      <t>蒙自市</t>
    </r>
  </si>
  <si>
    <r>
      <rPr>
        <sz val="11"/>
        <color indexed="64"/>
        <rFont val="宋体"/>
      </rPr>
      <t xml:space="preserve"> </t>
    </r>
    <r>
      <rPr>
        <sz val="11"/>
        <color indexed="64"/>
        <rFont val="宋体"/>
      </rPr>
      <t>河口县</t>
    </r>
  </si>
  <si>
    <r>
      <rPr>
        <sz val="11"/>
        <color indexed="64"/>
        <rFont val="宋体"/>
      </rPr>
      <t xml:space="preserve">  </t>
    </r>
    <r>
      <rPr>
        <sz val="11"/>
        <color indexed="64"/>
        <rFont val="宋体"/>
      </rPr>
      <t>B</t>
    </r>
  </si>
  <si>
    <r>
      <rPr>
        <sz val="11"/>
        <color indexed="64"/>
        <rFont val="宋体"/>
      </rPr>
      <t xml:space="preserve"> </t>
    </r>
    <r>
      <rPr>
        <sz val="11"/>
        <color indexed="64"/>
        <rFont val="宋体"/>
      </rPr>
      <t>弥勒市</t>
    </r>
  </si>
  <si>
    <r>
      <rPr>
        <sz val="11"/>
        <color indexed="64"/>
        <rFont val="宋体"/>
      </rPr>
      <t xml:space="preserve"> </t>
    </r>
    <r>
      <rPr>
        <sz val="11"/>
        <color indexed="64"/>
        <rFont val="宋体"/>
      </rPr>
      <t>个旧市</t>
    </r>
  </si>
  <si>
    <r>
      <rPr>
        <sz val="11"/>
        <color indexed="64"/>
        <rFont val="宋体"/>
      </rPr>
      <t xml:space="preserve"> </t>
    </r>
    <r>
      <rPr>
        <sz val="11"/>
        <color indexed="64"/>
        <rFont val="宋体"/>
      </rPr>
      <t>建水县</t>
    </r>
  </si>
  <si>
    <r>
      <rPr>
        <sz val="11"/>
        <color indexed="64"/>
        <rFont val="宋体"/>
      </rPr>
      <t xml:space="preserve"> </t>
    </r>
    <r>
      <rPr>
        <sz val="11"/>
        <color indexed="64"/>
        <rFont val="宋体"/>
      </rPr>
      <t>开远市</t>
    </r>
  </si>
  <si>
    <r>
      <rPr>
        <sz val="11"/>
        <color indexed="64"/>
        <rFont val="宋体"/>
      </rPr>
      <t xml:space="preserve"> </t>
    </r>
    <r>
      <rPr>
        <sz val="11"/>
        <color indexed="64"/>
        <rFont val="宋体"/>
      </rPr>
      <t>武定县</t>
    </r>
  </si>
  <si>
    <r>
      <rPr>
        <sz val="11"/>
        <color indexed="64"/>
        <rFont val="宋体"/>
      </rPr>
      <t xml:space="preserve"> </t>
    </r>
    <r>
      <rPr>
        <sz val="11"/>
        <color indexed="64"/>
        <rFont val="宋体"/>
      </rPr>
      <t>永仁县</t>
    </r>
  </si>
  <si>
    <r>
      <rPr>
        <sz val="11"/>
        <color indexed="64"/>
        <rFont val="宋体"/>
      </rPr>
      <t xml:space="preserve"> </t>
    </r>
    <r>
      <rPr>
        <sz val="11"/>
        <color indexed="64"/>
        <rFont val="宋体"/>
      </rPr>
      <t>南华县</t>
    </r>
  </si>
  <si>
    <r>
      <rPr>
        <sz val="11"/>
        <color indexed="64"/>
        <rFont val="宋体"/>
      </rPr>
      <t xml:space="preserve"> </t>
    </r>
    <r>
      <rPr>
        <sz val="11"/>
        <color indexed="64"/>
        <rFont val="宋体"/>
      </rPr>
      <t>双柏县</t>
    </r>
  </si>
  <si>
    <r>
      <rPr>
        <sz val="11"/>
        <color indexed="64"/>
        <rFont val="宋体"/>
      </rPr>
      <t xml:space="preserve"> </t>
    </r>
    <r>
      <rPr>
        <sz val="11"/>
        <color indexed="64"/>
        <rFont val="宋体"/>
      </rPr>
      <t>大姚县</t>
    </r>
  </si>
  <si>
    <r>
      <rPr>
        <sz val="11"/>
        <color indexed="64"/>
        <rFont val="宋体"/>
      </rPr>
      <t xml:space="preserve"> </t>
    </r>
    <r>
      <rPr>
        <sz val="11"/>
        <color indexed="64"/>
        <rFont val="宋体"/>
      </rPr>
      <t>牟定县</t>
    </r>
  </si>
  <si>
    <r>
      <rPr>
        <sz val="11"/>
        <color indexed="64"/>
        <rFont val="宋体"/>
      </rPr>
      <t xml:space="preserve"> </t>
    </r>
    <r>
      <rPr>
        <sz val="11"/>
        <color indexed="64"/>
        <rFont val="宋体"/>
      </rPr>
      <t>姚安县</t>
    </r>
  </si>
  <si>
    <r>
      <rPr>
        <sz val="11"/>
        <color indexed="64"/>
        <rFont val="宋体"/>
      </rPr>
      <t xml:space="preserve"> </t>
    </r>
    <r>
      <rPr>
        <sz val="11"/>
        <color indexed="64"/>
        <rFont val="宋体"/>
      </rPr>
      <t>楚雄市</t>
    </r>
  </si>
  <si>
    <r>
      <rPr>
        <sz val="11"/>
        <color indexed="64"/>
        <rFont val="宋体"/>
      </rPr>
      <t xml:space="preserve"> </t>
    </r>
    <r>
      <rPr>
        <sz val="11"/>
        <color indexed="64"/>
        <rFont val="宋体"/>
      </rPr>
      <t>禄丰市</t>
    </r>
  </si>
  <si>
    <r>
      <rPr>
        <sz val="11"/>
        <color indexed="64"/>
        <rFont val="宋体"/>
      </rPr>
      <t xml:space="preserve"> </t>
    </r>
    <r>
      <rPr>
        <sz val="11"/>
        <color indexed="64"/>
        <rFont val="宋体"/>
      </rPr>
      <t>元谋县</t>
    </r>
  </si>
  <si>
    <r>
      <rPr>
        <sz val="11"/>
        <color indexed="64"/>
        <rFont val="宋体"/>
      </rPr>
      <t xml:space="preserve"> </t>
    </r>
    <r>
      <rPr>
        <sz val="11"/>
        <color indexed="64"/>
        <rFont val="宋体"/>
      </rPr>
      <t>宣威市</t>
    </r>
  </si>
  <si>
    <r>
      <rPr>
        <sz val="11"/>
        <color indexed="64"/>
        <rFont val="宋体"/>
      </rPr>
      <t xml:space="preserve"> </t>
    </r>
    <r>
      <rPr>
        <sz val="11"/>
        <color indexed="64"/>
        <rFont val="宋体"/>
      </rPr>
      <t>富源县</t>
    </r>
  </si>
  <si>
    <r>
      <rPr>
        <sz val="11"/>
        <color indexed="64"/>
        <rFont val="宋体"/>
      </rPr>
      <t xml:space="preserve"> </t>
    </r>
    <r>
      <rPr>
        <sz val="11"/>
        <color indexed="64"/>
        <rFont val="宋体"/>
      </rPr>
      <t>会泽县</t>
    </r>
  </si>
  <si>
    <r>
      <rPr>
        <sz val="11"/>
        <color indexed="64"/>
        <rFont val="宋体"/>
      </rPr>
      <t xml:space="preserve"> </t>
    </r>
    <r>
      <rPr>
        <sz val="11"/>
        <color indexed="64"/>
        <rFont val="宋体"/>
      </rPr>
      <t>师宗县</t>
    </r>
  </si>
  <si>
    <r>
      <rPr>
        <sz val="11"/>
        <color indexed="64"/>
        <rFont val="宋体"/>
      </rPr>
      <t xml:space="preserve"> </t>
    </r>
    <r>
      <rPr>
        <sz val="11"/>
        <color indexed="64"/>
        <rFont val="宋体"/>
      </rPr>
      <t>罗平县</t>
    </r>
  </si>
  <si>
    <r>
      <rPr>
        <sz val="11"/>
        <color indexed="64"/>
        <rFont val="宋体"/>
      </rPr>
      <t xml:space="preserve"> </t>
    </r>
    <r>
      <rPr>
        <sz val="11"/>
        <color indexed="64"/>
        <rFont val="宋体"/>
      </rPr>
      <t>陆良县</t>
    </r>
  </si>
  <si>
    <r>
      <rPr>
        <sz val="11"/>
        <color indexed="64"/>
        <rFont val="宋体"/>
      </rPr>
      <t xml:space="preserve"> </t>
    </r>
    <r>
      <rPr>
        <sz val="11"/>
        <color indexed="64"/>
        <rFont val="宋体"/>
      </rPr>
      <t>马龙区</t>
    </r>
  </si>
  <si>
    <r>
      <rPr>
        <sz val="11"/>
        <color indexed="64"/>
        <rFont val="宋体"/>
      </rPr>
      <t xml:space="preserve"> </t>
    </r>
    <r>
      <rPr>
        <sz val="11"/>
        <color indexed="64"/>
        <rFont val="宋体"/>
      </rPr>
      <t>麒麟区</t>
    </r>
  </si>
  <si>
    <r>
      <rPr>
        <sz val="11"/>
        <color indexed="64"/>
        <rFont val="宋体"/>
      </rPr>
      <t xml:space="preserve"> </t>
    </r>
    <r>
      <rPr>
        <sz val="11"/>
        <color indexed="64"/>
        <rFont val="宋体"/>
      </rPr>
      <t>沾益区</t>
    </r>
  </si>
  <si>
    <r>
      <rPr>
        <sz val="11"/>
        <color indexed="64"/>
        <rFont val="宋体"/>
      </rPr>
      <t xml:space="preserve"> </t>
    </r>
    <r>
      <rPr>
        <sz val="11"/>
        <color indexed="64"/>
        <rFont val="宋体"/>
      </rPr>
      <t>勐海县</t>
    </r>
  </si>
  <si>
    <r>
      <rPr>
        <sz val="11"/>
        <color indexed="64"/>
        <rFont val="宋体"/>
      </rPr>
      <t xml:space="preserve"> </t>
    </r>
    <r>
      <rPr>
        <sz val="11"/>
        <color indexed="64"/>
        <rFont val="宋体"/>
      </rPr>
      <t>勐腊县</t>
    </r>
  </si>
  <si>
    <r>
      <rPr>
        <sz val="11"/>
        <color indexed="64"/>
        <rFont val="宋体"/>
      </rPr>
      <t xml:space="preserve"> </t>
    </r>
    <r>
      <rPr>
        <sz val="11"/>
        <color indexed="64"/>
        <rFont val="宋体"/>
      </rPr>
      <t>景洪市</t>
    </r>
  </si>
  <si>
    <r>
      <rPr>
        <sz val="11"/>
        <color indexed="64"/>
        <rFont val="宋体"/>
      </rPr>
      <t xml:space="preserve"> </t>
    </r>
    <r>
      <rPr>
        <sz val="11"/>
        <color indexed="64"/>
        <rFont val="宋体"/>
      </rPr>
      <t>禄劝县</t>
    </r>
  </si>
  <si>
    <r>
      <rPr>
        <sz val="11"/>
        <color indexed="64"/>
        <rFont val="宋体"/>
      </rPr>
      <t xml:space="preserve"> </t>
    </r>
    <r>
      <rPr>
        <sz val="11"/>
        <color indexed="64"/>
        <rFont val="宋体"/>
      </rPr>
      <t>寻甸县</t>
    </r>
  </si>
  <si>
    <r>
      <rPr>
        <sz val="11"/>
        <color indexed="64"/>
        <rFont val="宋体"/>
      </rPr>
      <t xml:space="preserve"> </t>
    </r>
    <r>
      <rPr>
        <sz val="11"/>
        <color indexed="64"/>
        <rFont val="宋体"/>
      </rPr>
      <t>东川区</t>
    </r>
  </si>
  <si>
    <r>
      <rPr>
        <sz val="11"/>
        <color indexed="64"/>
        <rFont val="宋体"/>
      </rPr>
      <t xml:space="preserve"> </t>
    </r>
    <r>
      <rPr>
        <sz val="11"/>
        <color indexed="64"/>
        <rFont val="宋体"/>
      </rPr>
      <t>嵩明县</t>
    </r>
  </si>
  <si>
    <r>
      <rPr>
        <sz val="11"/>
        <color indexed="64"/>
        <rFont val="宋体"/>
      </rPr>
      <t xml:space="preserve"> </t>
    </r>
    <r>
      <rPr>
        <sz val="11"/>
        <color indexed="64"/>
        <rFont val="宋体"/>
      </rPr>
      <t>盘龙区</t>
    </r>
  </si>
  <si>
    <r>
      <rPr>
        <sz val="11"/>
        <color indexed="64"/>
        <rFont val="宋体"/>
      </rPr>
      <t xml:space="preserve"> </t>
    </r>
    <r>
      <rPr>
        <sz val="11"/>
        <color indexed="64"/>
        <rFont val="宋体"/>
      </rPr>
      <t>宜良县</t>
    </r>
  </si>
  <si>
    <r>
      <rPr>
        <sz val="11"/>
        <color indexed="64"/>
        <rFont val="宋体"/>
      </rPr>
      <t xml:space="preserve"> </t>
    </r>
    <r>
      <rPr>
        <sz val="11"/>
        <color indexed="64"/>
        <rFont val="宋体"/>
      </rPr>
      <t>晋宁区</t>
    </r>
  </si>
  <si>
    <r>
      <rPr>
        <sz val="11"/>
        <color indexed="64"/>
        <rFont val="宋体"/>
      </rPr>
      <t xml:space="preserve"> </t>
    </r>
    <r>
      <rPr>
        <sz val="11"/>
        <color indexed="64"/>
        <rFont val="宋体"/>
      </rPr>
      <t>富民县</t>
    </r>
  </si>
  <si>
    <r>
      <rPr>
        <sz val="11"/>
        <color indexed="64"/>
        <rFont val="宋体"/>
      </rPr>
      <t xml:space="preserve"> </t>
    </r>
    <r>
      <rPr>
        <sz val="11"/>
        <color indexed="64"/>
        <rFont val="宋体"/>
      </rPr>
      <t>石林县</t>
    </r>
  </si>
  <si>
    <r>
      <rPr>
        <sz val="11"/>
        <color indexed="64"/>
        <rFont val="宋体"/>
      </rPr>
      <t xml:space="preserve"> </t>
    </r>
    <r>
      <rPr>
        <sz val="11"/>
        <color indexed="64"/>
        <rFont val="宋体"/>
      </rPr>
      <t>广南县</t>
    </r>
  </si>
  <si>
    <r>
      <rPr>
        <sz val="11"/>
        <color indexed="64"/>
        <rFont val="宋体"/>
      </rPr>
      <t xml:space="preserve"> </t>
    </r>
    <r>
      <rPr>
        <sz val="11"/>
        <color indexed="64"/>
        <rFont val="宋体"/>
      </rPr>
      <t>麻栗坡县</t>
    </r>
  </si>
  <si>
    <r>
      <rPr>
        <sz val="11"/>
        <color indexed="64"/>
        <rFont val="宋体"/>
      </rPr>
      <t xml:space="preserve"> </t>
    </r>
    <r>
      <rPr>
        <sz val="11"/>
        <color indexed="64"/>
        <rFont val="宋体"/>
      </rPr>
      <t>马关县</t>
    </r>
  </si>
  <si>
    <r>
      <rPr>
        <sz val="11"/>
        <color indexed="64"/>
        <rFont val="宋体"/>
      </rPr>
      <t xml:space="preserve"> </t>
    </r>
    <r>
      <rPr>
        <sz val="11"/>
        <color indexed="64"/>
        <rFont val="宋体"/>
      </rPr>
      <t>丘北县</t>
    </r>
  </si>
  <si>
    <r>
      <rPr>
        <sz val="11"/>
        <color indexed="64"/>
        <rFont val="宋体"/>
      </rPr>
      <t xml:space="preserve"> </t>
    </r>
    <r>
      <rPr>
        <sz val="11"/>
        <color indexed="64"/>
        <rFont val="宋体"/>
      </rPr>
      <t>砚山县</t>
    </r>
  </si>
  <si>
    <r>
      <rPr>
        <sz val="11"/>
        <color indexed="64"/>
        <rFont val="宋体"/>
      </rPr>
      <t xml:space="preserve"> </t>
    </r>
    <r>
      <rPr>
        <sz val="11"/>
        <color indexed="64"/>
        <rFont val="宋体"/>
      </rPr>
      <t>西畴县</t>
    </r>
  </si>
  <si>
    <r>
      <rPr>
        <sz val="11"/>
        <color indexed="64"/>
        <rFont val="宋体"/>
      </rPr>
      <t xml:space="preserve"> </t>
    </r>
    <r>
      <rPr>
        <sz val="11"/>
        <color indexed="64"/>
        <rFont val="宋体"/>
      </rPr>
      <t>文山市</t>
    </r>
  </si>
  <si>
    <r>
      <rPr>
        <sz val="11"/>
        <color indexed="64"/>
        <rFont val="宋体"/>
      </rPr>
      <t xml:space="preserve"> </t>
    </r>
    <r>
      <rPr>
        <sz val="11"/>
        <color indexed="64"/>
        <rFont val="宋体"/>
      </rPr>
      <t>富宁县</t>
    </r>
  </si>
  <si>
    <r>
      <rPr>
        <sz val="11"/>
        <color indexed="64"/>
        <rFont val="宋体"/>
      </rPr>
      <t xml:space="preserve"> </t>
    </r>
    <r>
      <rPr>
        <sz val="11"/>
        <color indexed="64"/>
        <rFont val="宋体"/>
      </rPr>
      <t>思茅区</t>
    </r>
  </si>
  <si>
    <r>
      <rPr>
        <sz val="11"/>
        <color indexed="64"/>
        <rFont val="宋体"/>
      </rPr>
      <t xml:space="preserve">  </t>
    </r>
    <r>
      <rPr>
        <sz val="11"/>
        <color indexed="64"/>
        <rFont val="宋体"/>
      </rPr>
      <t>C</t>
    </r>
  </si>
  <si>
    <r>
      <rPr>
        <sz val="11"/>
        <color indexed="64"/>
        <rFont val="宋体"/>
      </rPr>
      <t xml:space="preserve"> </t>
    </r>
    <r>
      <rPr>
        <sz val="11"/>
        <color indexed="64"/>
        <rFont val="宋体"/>
      </rPr>
      <t>澜沧县</t>
    </r>
  </si>
  <si>
    <r>
      <rPr>
        <sz val="11"/>
        <color indexed="64"/>
        <rFont val="宋体"/>
      </rPr>
      <t xml:space="preserve"> </t>
    </r>
    <r>
      <rPr>
        <sz val="11"/>
        <color indexed="64"/>
        <rFont val="宋体"/>
      </rPr>
      <t>景东县</t>
    </r>
  </si>
  <si>
    <r>
      <rPr>
        <sz val="11"/>
        <color indexed="64"/>
        <rFont val="宋体"/>
      </rPr>
      <t xml:space="preserve"> </t>
    </r>
    <r>
      <rPr>
        <sz val="11"/>
        <color indexed="64"/>
        <rFont val="宋体"/>
      </rPr>
      <t>景谷县</t>
    </r>
  </si>
  <si>
    <r>
      <rPr>
        <sz val="11"/>
        <color indexed="64"/>
        <rFont val="宋体"/>
      </rPr>
      <t xml:space="preserve"> </t>
    </r>
    <r>
      <rPr>
        <sz val="11"/>
        <color indexed="64"/>
        <rFont val="宋体"/>
      </rPr>
      <t>宁洱县</t>
    </r>
  </si>
  <si>
    <r>
      <rPr>
        <sz val="11"/>
        <color indexed="64"/>
        <rFont val="宋体"/>
      </rPr>
      <t xml:space="preserve"> </t>
    </r>
    <r>
      <rPr>
        <sz val="11"/>
        <color indexed="64"/>
        <rFont val="宋体"/>
      </rPr>
      <t>镇沅县</t>
    </r>
  </si>
  <si>
    <r>
      <rPr>
        <sz val="11"/>
        <color indexed="64"/>
        <rFont val="宋体"/>
      </rPr>
      <t xml:space="preserve"> </t>
    </r>
    <r>
      <rPr>
        <sz val="11"/>
        <color indexed="64"/>
        <rFont val="宋体"/>
      </rPr>
      <t>西盟县</t>
    </r>
  </si>
  <si>
    <r>
      <rPr>
        <sz val="11"/>
        <color indexed="64"/>
        <rFont val="宋体"/>
      </rPr>
      <t xml:space="preserve"> </t>
    </r>
    <r>
      <rPr>
        <sz val="11"/>
        <color indexed="64"/>
        <rFont val="宋体"/>
      </rPr>
      <t>墨江县</t>
    </r>
  </si>
  <si>
    <r>
      <rPr>
        <sz val="11"/>
        <color indexed="64"/>
        <rFont val="宋体"/>
      </rPr>
      <t xml:space="preserve"> </t>
    </r>
    <r>
      <rPr>
        <sz val="11"/>
        <color indexed="64"/>
        <rFont val="宋体"/>
      </rPr>
      <t>孟连县</t>
    </r>
  </si>
  <si>
    <r>
      <rPr>
        <sz val="11"/>
        <color indexed="64"/>
        <rFont val="宋体"/>
      </rPr>
      <t xml:space="preserve"> </t>
    </r>
    <r>
      <rPr>
        <sz val="11"/>
        <color indexed="64"/>
        <rFont val="宋体"/>
      </rPr>
      <t>江城县</t>
    </r>
  </si>
  <si>
    <r>
      <rPr>
        <sz val="11"/>
        <color indexed="64"/>
        <rFont val="宋体"/>
      </rPr>
      <t xml:space="preserve"> </t>
    </r>
    <r>
      <rPr>
        <sz val="11"/>
        <color indexed="64"/>
        <rFont val="宋体"/>
      </rPr>
      <t>龙陵县</t>
    </r>
  </si>
  <si>
    <r>
      <rPr>
        <sz val="11"/>
        <color indexed="64"/>
        <rFont val="宋体"/>
      </rPr>
      <t xml:space="preserve"> </t>
    </r>
    <r>
      <rPr>
        <sz val="11"/>
        <color indexed="64"/>
        <rFont val="宋体"/>
      </rPr>
      <t>隆阳区</t>
    </r>
  </si>
  <si>
    <r>
      <rPr>
        <sz val="11"/>
        <color indexed="64"/>
        <rFont val="宋体"/>
      </rPr>
      <t xml:space="preserve"> </t>
    </r>
    <r>
      <rPr>
        <sz val="11"/>
        <color indexed="64"/>
        <rFont val="宋体"/>
      </rPr>
      <t>施甸县</t>
    </r>
  </si>
  <si>
    <r>
      <rPr>
        <sz val="11"/>
        <color indexed="64"/>
        <rFont val="宋体"/>
      </rPr>
      <t xml:space="preserve"> </t>
    </r>
    <r>
      <rPr>
        <sz val="11"/>
        <color indexed="64"/>
        <rFont val="宋体"/>
      </rPr>
      <t>昌宁县</t>
    </r>
  </si>
  <si>
    <r>
      <rPr>
        <sz val="11"/>
        <color indexed="64"/>
        <rFont val="宋体"/>
      </rPr>
      <t xml:space="preserve"> </t>
    </r>
    <r>
      <rPr>
        <sz val="11"/>
        <color indexed="64"/>
        <rFont val="宋体"/>
      </rPr>
      <t>腾冲市</t>
    </r>
  </si>
  <si>
    <r>
      <rPr>
        <sz val="11"/>
        <color indexed="64"/>
        <rFont val="宋体"/>
      </rPr>
      <t xml:space="preserve"> </t>
    </r>
    <r>
      <rPr>
        <sz val="11"/>
        <color indexed="64"/>
        <rFont val="宋体"/>
      </rPr>
      <t>耿马县</t>
    </r>
  </si>
  <si>
    <r>
      <rPr>
        <sz val="11"/>
        <color indexed="64"/>
        <rFont val="宋体"/>
      </rPr>
      <t xml:space="preserve"> </t>
    </r>
    <r>
      <rPr>
        <sz val="11"/>
        <color indexed="64"/>
        <rFont val="宋体"/>
      </rPr>
      <t>凤庆县</t>
    </r>
  </si>
  <si>
    <r>
      <rPr>
        <sz val="11"/>
        <color indexed="64"/>
        <rFont val="宋体"/>
      </rPr>
      <t xml:space="preserve"> </t>
    </r>
    <r>
      <rPr>
        <sz val="11"/>
        <color indexed="64"/>
        <rFont val="宋体"/>
      </rPr>
      <t>永德县</t>
    </r>
  </si>
  <si>
    <r>
      <rPr>
        <sz val="11"/>
        <color indexed="64"/>
        <rFont val="宋体"/>
      </rPr>
      <t xml:space="preserve"> </t>
    </r>
    <r>
      <rPr>
        <sz val="11"/>
        <color indexed="64"/>
        <rFont val="宋体"/>
      </rPr>
      <t>云县</t>
    </r>
  </si>
  <si>
    <r>
      <rPr>
        <sz val="11"/>
        <color indexed="64"/>
        <rFont val="宋体"/>
      </rPr>
      <t xml:space="preserve"> </t>
    </r>
    <r>
      <rPr>
        <sz val="11"/>
        <color indexed="64"/>
        <rFont val="宋体"/>
      </rPr>
      <t>镇康县</t>
    </r>
  </si>
  <si>
    <r>
      <rPr>
        <sz val="11"/>
        <color indexed="64"/>
        <rFont val="宋体"/>
      </rPr>
      <t xml:space="preserve"> </t>
    </r>
    <r>
      <rPr>
        <sz val="11"/>
        <color indexed="64"/>
        <rFont val="宋体"/>
      </rPr>
      <t>临翔区</t>
    </r>
  </si>
  <si>
    <r>
      <rPr>
        <sz val="11"/>
        <color indexed="64"/>
        <rFont val="宋体"/>
      </rPr>
      <t xml:space="preserve"> </t>
    </r>
    <r>
      <rPr>
        <sz val="11"/>
        <color indexed="64"/>
        <rFont val="宋体"/>
      </rPr>
      <t>双江县</t>
    </r>
  </si>
  <si>
    <r>
      <rPr>
        <sz val="11"/>
        <color indexed="64"/>
        <rFont val="宋体"/>
      </rPr>
      <t xml:space="preserve"> </t>
    </r>
    <r>
      <rPr>
        <sz val="11"/>
        <color indexed="64"/>
        <rFont val="宋体"/>
      </rPr>
      <t>沧源县</t>
    </r>
  </si>
  <si>
    <r>
      <rPr>
        <sz val="11"/>
        <color indexed="64"/>
        <rFont val="宋体"/>
      </rPr>
      <t xml:space="preserve"> </t>
    </r>
    <r>
      <rPr>
        <sz val="11"/>
        <color indexed="64"/>
        <rFont val="宋体"/>
      </rPr>
      <t>芒市</t>
    </r>
  </si>
  <si>
    <r>
      <rPr>
        <sz val="11"/>
        <color indexed="64"/>
        <rFont val="宋体"/>
      </rPr>
      <t xml:space="preserve"> </t>
    </r>
    <r>
      <rPr>
        <sz val="11"/>
        <color indexed="64"/>
        <rFont val="宋体"/>
      </rPr>
      <t>梁河县</t>
    </r>
  </si>
  <si>
    <r>
      <rPr>
        <sz val="11"/>
        <color indexed="64"/>
        <rFont val="宋体"/>
      </rPr>
      <t xml:space="preserve"> </t>
    </r>
    <r>
      <rPr>
        <sz val="11"/>
        <color indexed="64"/>
        <rFont val="宋体"/>
      </rPr>
      <t>盈江县</t>
    </r>
  </si>
  <si>
    <r>
      <rPr>
        <sz val="11"/>
        <color indexed="64"/>
        <rFont val="宋体"/>
      </rPr>
      <t xml:space="preserve"> </t>
    </r>
    <r>
      <rPr>
        <sz val="11"/>
        <color indexed="64"/>
        <rFont val="宋体"/>
      </rPr>
      <t>陇川县</t>
    </r>
  </si>
  <si>
    <r>
      <rPr>
        <sz val="11"/>
        <color indexed="64"/>
        <rFont val="宋体"/>
      </rPr>
      <t xml:space="preserve"> </t>
    </r>
    <r>
      <rPr>
        <sz val="11"/>
        <color indexed="64"/>
        <rFont val="宋体"/>
      </rPr>
      <t>瑞丽市</t>
    </r>
  </si>
  <si>
    <r>
      <rPr>
        <sz val="11"/>
        <color indexed="64"/>
        <rFont val="宋体"/>
      </rPr>
      <t xml:space="preserve"> </t>
    </r>
    <r>
      <rPr>
        <sz val="11"/>
        <color indexed="64"/>
        <rFont val="宋体"/>
      </rPr>
      <t>玉龙县</t>
    </r>
  </si>
  <si>
    <r>
      <rPr>
        <sz val="11"/>
        <color indexed="64"/>
        <rFont val="宋体"/>
      </rPr>
      <t xml:space="preserve"> </t>
    </r>
    <r>
      <rPr>
        <sz val="11"/>
        <color indexed="64"/>
        <rFont val="宋体"/>
      </rPr>
      <t>永胜县</t>
    </r>
  </si>
  <si>
    <r>
      <rPr>
        <sz val="11"/>
        <color indexed="64"/>
        <rFont val="宋体"/>
      </rPr>
      <t xml:space="preserve"> </t>
    </r>
    <r>
      <rPr>
        <sz val="11"/>
        <color indexed="64"/>
        <rFont val="宋体"/>
      </rPr>
      <t>宁蒗县</t>
    </r>
  </si>
  <si>
    <r>
      <rPr>
        <sz val="11"/>
        <color indexed="64"/>
        <rFont val="宋体"/>
      </rPr>
      <t xml:space="preserve"> </t>
    </r>
    <r>
      <rPr>
        <sz val="11"/>
        <color indexed="64"/>
        <rFont val="宋体"/>
      </rPr>
      <t>古城区</t>
    </r>
  </si>
  <si>
    <r>
      <rPr>
        <sz val="11"/>
        <color indexed="64"/>
        <rFont val="宋体"/>
      </rPr>
      <t xml:space="preserve"> </t>
    </r>
    <r>
      <rPr>
        <sz val="11"/>
        <color indexed="64"/>
        <rFont val="宋体"/>
      </rPr>
      <t>华坪县</t>
    </r>
  </si>
  <si>
    <r>
      <rPr>
        <sz val="11"/>
        <color indexed="64"/>
        <rFont val="宋体"/>
      </rPr>
      <t xml:space="preserve"> </t>
    </r>
    <r>
      <rPr>
        <sz val="11"/>
        <color indexed="64"/>
        <rFont val="宋体"/>
      </rPr>
      <t>香格里拉市</t>
    </r>
  </si>
  <si>
    <r>
      <rPr>
        <sz val="11"/>
        <color indexed="64"/>
        <rFont val="宋体"/>
      </rPr>
      <t xml:space="preserve"> </t>
    </r>
    <r>
      <rPr>
        <sz val="11"/>
        <color indexed="64"/>
        <rFont val="宋体"/>
      </rPr>
      <t>维西县</t>
    </r>
  </si>
  <si>
    <r>
      <rPr>
        <sz val="11"/>
        <color indexed="64"/>
        <rFont val="宋体"/>
      </rPr>
      <t xml:space="preserve"> </t>
    </r>
    <r>
      <rPr>
        <sz val="11"/>
        <color indexed="64"/>
        <rFont val="宋体"/>
      </rPr>
      <t>德钦县</t>
    </r>
  </si>
  <si>
    <r>
      <rPr>
        <sz val="11"/>
        <color indexed="64"/>
        <rFont val="宋体"/>
      </rPr>
      <t xml:space="preserve"> </t>
    </r>
    <r>
      <rPr>
        <sz val="11"/>
        <color indexed="64"/>
        <rFont val="宋体"/>
      </rPr>
      <t>泸水市</t>
    </r>
  </si>
  <si>
    <r>
      <rPr>
        <sz val="11"/>
        <color indexed="64"/>
        <rFont val="宋体"/>
      </rPr>
      <t xml:space="preserve"> </t>
    </r>
    <r>
      <rPr>
        <sz val="11"/>
        <color indexed="64"/>
        <rFont val="宋体"/>
      </rPr>
      <t>福贡县</t>
    </r>
  </si>
  <si>
    <r>
      <rPr>
        <sz val="11"/>
        <color indexed="64"/>
        <rFont val="宋体"/>
      </rPr>
      <t xml:space="preserve"> </t>
    </r>
    <r>
      <rPr>
        <sz val="11"/>
        <color indexed="64"/>
        <rFont val="宋体"/>
      </rPr>
      <t>贡山县</t>
    </r>
  </si>
  <si>
    <r>
      <rPr>
        <sz val="11"/>
        <color indexed="64"/>
        <rFont val="宋体"/>
      </rPr>
      <t xml:space="preserve"> </t>
    </r>
    <r>
      <rPr>
        <sz val="11"/>
        <color indexed="64"/>
        <rFont val="宋体"/>
      </rPr>
      <t>兰坪县</t>
    </r>
  </si>
  <si>
    <r>
      <rPr>
        <sz val="11"/>
        <color indexed="64"/>
        <rFont val="宋体"/>
      </rPr>
      <t xml:space="preserve"> </t>
    </r>
    <r>
      <rPr>
        <sz val="11"/>
        <color indexed="64"/>
        <rFont val="宋体"/>
      </rPr>
      <t>江川区</t>
    </r>
  </si>
  <si>
    <r>
      <rPr>
        <sz val="11"/>
        <color indexed="64"/>
        <rFont val="宋体"/>
      </rPr>
      <t xml:space="preserve"> </t>
    </r>
    <r>
      <rPr>
        <sz val="11"/>
        <color indexed="64"/>
        <rFont val="宋体"/>
      </rPr>
      <t>红塔区</t>
    </r>
  </si>
  <si>
    <r>
      <rPr>
        <sz val="11"/>
        <color indexed="64"/>
        <rFont val="宋体"/>
      </rPr>
      <t xml:space="preserve"> </t>
    </r>
    <r>
      <rPr>
        <sz val="11"/>
        <color indexed="64"/>
        <rFont val="宋体"/>
      </rPr>
      <t>通海县</t>
    </r>
  </si>
  <si>
    <r>
      <rPr>
        <sz val="11"/>
        <color indexed="64"/>
        <rFont val="宋体"/>
      </rPr>
      <t xml:space="preserve"> </t>
    </r>
    <r>
      <rPr>
        <sz val="11"/>
        <color indexed="64"/>
        <rFont val="宋体"/>
      </rPr>
      <t>澄江市</t>
    </r>
  </si>
  <si>
    <r>
      <rPr>
        <sz val="11"/>
        <color indexed="64"/>
        <rFont val="宋体"/>
      </rPr>
      <t xml:space="preserve"> </t>
    </r>
    <r>
      <rPr>
        <sz val="11"/>
        <color indexed="64"/>
        <rFont val="宋体"/>
      </rPr>
      <t>易门县</t>
    </r>
  </si>
  <si>
    <r>
      <rPr>
        <sz val="11"/>
        <color indexed="64"/>
        <rFont val="宋体"/>
      </rPr>
      <t xml:space="preserve"> </t>
    </r>
    <r>
      <rPr>
        <sz val="11"/>
        <color indexed="64"/>
        <rFont val="宋体"/>
      </rPr>
      <t>华宁县</t>
    </r>
  </si>
  <si>
    <r>
      <rPr>
        <sz val="11"/>
        <color indexed="64"/>
        <rFont val="宋体"/>
      </rPr>
      <t xml:space="preserve"> </t>
    </r>
    <r>
      <rPr>
        <sz val="11"/>
        <color indexed="64"/>
        <rFont val="宋体"/>
      </rPr>
      <t>峨山县</t>
    </r>
  </si>
  <si>
    <r>
      <rPr>
        <sz val="11"/>
        <color indexed="64"/>
        <rFont val="宋体"/>
      </rPr>
      <t xml:space="preserve"> </t>
    </r>
    <r>
      <rPr>
        <sz val="11"/>
        <color indexed="64"/>
        <rFont val="宋体"/>
      </rPr>
      <t>新平县</t>
    </r>
  </si>
  <si>
    <r>
      <rPr>
        <sz val="11"/>
        <color indexed="64"/>
        <rFont val="宋体"/>
      </rPr>
      <t xml:space="preserve"> </t>
    </r>
    <r>
      <rPr>
        <sz val="11"/>
        <color indexed="64"/>
        <rFont val="宋体"/>
      </rPr>
      <t>元江县</t>
    </r>
  </si>
  <si>
    <t>昭阳鲁甸</t>
  </si>
  <si>
    <t xml:space="preserve">                                          2023年中央提前批财政衔接推进乡村振兴补助资金测算分配表</t>
  </si>
  <si>
    <t>因素1.相关人群数量及结构（37%）</t>
  </si>
  <si>
    <t>因素2.相关人群收入（权重12%）</t>
  </si>
  <si>
    <t>因素3.政策因素（权重43%）</t>
  </si>
  <si>
    <t>因素4.绩效管理因素（权重8%）</t>
  </si>
  <si>
    <t>重点县金额差额</t>
  </si>
  <si>
    <t>脱贫人口规模（人）（12%）</t>
  </si>
  <si>
    <t>防返贫监测人口规模（人）（15%）</t>
  </si>
  <si>
    <t>800人以上的安置区贫困人口</t>
  </si>
  <si>
    <t>小额信贷情况（3.7%）</t>
  </si>
  <si>
    <t>乡村振兴“一县一业”示范县（不再用）</t>
  </si>
  <si>
    <t>利益联结和风险机制(6.3%)</t>
  </si>
  <si>
    <t>乡村建设示范村（9%）</t>
  </si>
  <si>
    <t>国家重点县（24%，定额补助5000万元，且较上年不减）</t>
  </si>
  <si>
    <t>2021年度资金绩效评价结果</t>
  </si>
  <si>
    <t>2021年度资金绩效评价结果（2.2%）</t>
  </si>
  <si>
    <t>2021年度脱贫成果考核结果（3.2%）</t>
  </si>
  <si>
    <t>支出进度（2.6%）</t>
  </si>
  <si>
    <t>项目库建设（2021提，未使用）</t>
  </si>
  <si>
    <t>非贫困县（按0.6比例折算）</t>
  </si>
  <si>
    <t>2017年（按0.7比例折算）</t>
  </si>
  <si>
    <t>2018年（按0.8比例折算）</t>
  </si>
  <si>
    <t>2019年（按0.9比例折算）</t>
  </si>
  <si>
    <t>800-3000人（按0.6比例折算）</t>
  </si>
  <si>
    <t>3000-10000人（按0.8比例折算）</t>
  </si>
  <si>
    <t>10000人以上（按1比例折算）</t>
  </si>
  <si>
    <t>跨县安置（按1.25比例折算）</t>
  </si>
  <si>
    <t>个数</t>
  </si>
  <si>
    <t>参与“双绑”的农业新型经营主体数量（3%）</t>
  </si>
  <si>
    <t>主体数量折算</t>
  </si>
  <si>
    <t>“双绑”覆盖率（3%）</t>
  </si>
  <si>
    <t>“双绑”覆盖率折算</t>
  </si>
  <si>
    <t>建立政银担风险分担机制（0.3%）</t>
  </si>
  <si>
    <t>2022年综合支出进度</t>
  </si>
  <si>
    <t>√</t>
  </si>
  <si>
    <t>综合支出进度得分表</t>
  </si>
  <si>
    <t>地区名称</t>
  </si>
  <si>
    <t>截至6月底资金情况</t>
  </si>
  <si>
    <t>截至9月底资金情况</t>
  </si>
  <si>
    <t>截至12月23日资金支出情况</t>
  </si>
  <si>
    <t>综合支出进度系数</t>
  </si>
  <si>
    <t>截至6月底下达数</t>
  </si>
  <si>
    <t>支出金额</t>
  </si>
  <si>
    <t>支出进度</t>
  </si>
  <si>
    <t>截至9月底下达数</t>
  </si>
  <si>
    <t>截至11月底下达数</t>
  </si>
  <si>
    <t>国家级</t>
  </si>
  <si>
    <t xml:space="preserve">                                          2023年省级财政衔接推进乡村振兴补助资金测算分配表</t>
  </si>
  <si>
    <r>
      <rPr>
        <b/>
        <sz val="9"/>
        <rFont val="等线"/>
        <scheme val="minor"/>
      </rPr>
      <t>因素1.相关人群数量及结构</t>
    </r>
    <r>
      <rPr>
        <b/>
        <sz val="9"/>
        <color indexed="2"/>
        <rFont val="等线"/>
        <scheme val="minor"/>
      </rPr>
      <t>（33%）</t>
    </r>
  </si>
  <si>
    <t>因素3.政策因素（权重47%）</t>
  </si>
  <si>
    <t>同比例折算2022年下达数（省级）</t>
  </si>
  <si>
    <t>省级较2022年增减金额</t>
  </si>
  <si>
    <t>省级较2022年同口径增减比例</t>
  </si>
  <si>
    <t>中央较2022年同口径增减金额</t>
  </si>
  <si>
    <t>中央+省级同口径增减合计</t>
  </si>
  <si>
    <r>
      <rPr>
        <b/>
        <sz val="9"/>
        <rFont val="等线"/>
        <scheme val="minor"/>
      </rPr>
      <t>易地扶贫搬迁贫困人口规模（人）</t>
    </r>
    <r>
      <rPr>
        <b/>
        <sz val="9"/>
        <color indexed="2"/>
        <rFont val="等线"/>
        <scheme val="minor"/>
      </rPr>
      <t>（3.5%）</t>
    </r>
  </si>
  <si>
    <t>小额信贷情况（3%）</t>
  </si>
  <si>
    <r>
      <rPr>
        <b/>
        <sz val="9"/>
        <rFont val="等线"/>
        <scheme val="minor"/>
      </rPr>
      <t>利益联结和风险机制</t>
    </r>
    <r>
      <rPr>
        <b/>
        <sz val="9"/>
        <color indexed="2"/>
        <rFont val="等线"/>
        <scheme val="minor"/>
      </rPr>
      <t>(4%)</t>
    </r>
  </si>
  <si>
    <t>中央和省级重点县（40%，定额补助1000、3000万元）</t>
  </si>
  <si>
    <t>2022年度资金绩效评价结果</t>
  </si>
  <si>
    <t>2022年度资金绩效评价结果（3%）</t>
  </si>
  <si>
    <t>测算分配金额(预留)</t>
  </si>
  <si>
    <t>2022年度脱贫成果考核结果（3%）</t>
  </si>
  <si>
    <t>支出进度（2%）</t>
  </si>
  <si>
    <r>
      <rPr>
        <b/>
        <sz val="9"/>
        <rFont val="等线"/>
        <scheme val="minor"/>
      </rPr>
      <t>参与“双绑”的农业新型经营主体数量</t>
    </r>
    <r>
      <rPr>
        <b/>
        <sz val="9"/>
        <color indexed="2"/>
        <rFont val="等线"/>
        <scheme val="minor"/>
      </rPr>
      <t>（2%）</t>
    </r>
  </si>
  <si>
    <r>
      <rPr>
        <b/>
        <sz val="9"/>
        <rFont val="等线"/>
        <scheme val="minor"/>
      </rPr>
      <t>“双绑”覆盖率</t>
    </r>
    <r>
      <rPr>
        <b/>
        <sz val="9"/>
        <color indexed="2"/>
        <rFont val="等线"/>
        <scheme val="minor"/>
      </rPr>
      <t>（2%）</t>
    </r>
  </si>
  <si>
    <t>2022年综合支出进度系数</t>
  </si>
  <si>
    <t>中央和省级重点县（40%，定额补助1400万元）</t>
  </si>
  <si>
    <t>问题个数</t>
  </si>
  <si>
    <t>2023年度项目库建设评价情况表</t>
  </si>
  <si>
    <t>2023年储备项目数量（个）</t>
  </si>
  <si>
    <t>同比增长（占比50%）</t>
  </si>
  <si>
    <t>2023年储备项目资金规模（万元）</t>
  </si>
  <si>
    <t>附件1</t>
  </si>
  <si>
    <t>2025年省级财政衔接推进乡村振兴补助资金（第四批）下达表</t>
  </si>
  <si>
    <t>金额</t>
  </si>
  <si>
    <t>其中：</t>
  </si>
  <si>
    <t>支出进度因素分配</t>
  </si>
  <si>
    <t>衔接资金产业绩效评价奖励</t>
  </si>
  <si>
    <t>新增或补充农担政担风险分担机制出资奖励</t>
  </si>
  <si>
    <t>分任务分部门项目入库调度问题扣减</t>
  </si>
  <si>
    <t>受灾因素分配</t>
  </si>
  <si>
    <t>其他巩固拓展脱贫攻坚成果和乡村振兴任务</t>
  </si>
  <si>
    <t>备注</t>
  </si>
  <si>
    <t>调整（试点、磨憨）</t>
  </si>
  <si>
    <t>原金额</t>
  </si>
  <si>
    <t>支出进度分配</t>
  </si>
  <si>
    <t>受灾及特殊政策因素分配</t>
  </si>
  <si>
    <t>发展新型农村集体经济因素</t>
  </si>
  <si>
    <t>磨憨太少，不再切块。</t>
  </si>
  <si>
    <t>2023年省级财政衔接资金本次34.97亿元测算分配表</t>
  </si>
  <si>
    <t>全年预计安排</t>
  </si>
  <si>
    <t>本次计划分配</t>
  </si>
  <si>
    <t>易地扶贫搬迁后续产业发展</t>
  </si>
  <si>
    <t>新型村集体经济</t>
  </si>
  <si>
    <t>小额信贷贴息</t>
  </si>
  <si>
    <t>国家重点县脱贫人口增收</t>
  </si>
  <si>
    <t>审计发现问题等扣减资金</t>
  </si>
  <si>
    <t>德宏州内部调剂</t>
  </si>
  <si>
    <t>陇川县巡视问题整改因素</t>
  </si>
  <si>
    <t>磨憨457万元</t>
  </si>
  <si>
    <t>含现代化边境幸福村398万元</t>
  </si>
  <si>
    <t>含现代化边境幸福村135万元</t>
  </si>
  <si>
    <t>版纳州合计</t>
  </si>
  <si>
    <t>版纳州本级</t>
  </si>
  <si>
    <t>含现代化边境幸福村331万元</t>
  </si>
  <si>
    <t>含现代化边境幸福村369万元</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</si>
</sst>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2">
    <numFmt numFmtId="160" formatCode="_ * #,##0.00_ ;_ * \-#,##0.00_ ;_ * &quot;-&quot;??_ ;_ @_ "/>
    <numFmt numFmtId="161" formatCode="_ &quot;￥&quot;* #,##0.00_ ;_ &quot;￥&quot;* \-#,##0.00_ ;_ &quot;￥&quot;* &quot;-&quot;??_ ;_ @_ "/>
    <numFmt numFmtId="162" formatCode="_ * #,##0_ ;_ * \-#,##0_ ;_ * &quot;-&quot;_ ;_ @_ "/>
    <numFmt numFmtId="163" formatCode="_ &quot;￥&quot;* #,##0_ ;_ &quot;￥&quot;* \-#,##0_ ;_ &quot;￥&quot;* &quot;-&quot;_ ;_ @_ "/>
    <numFmt numFmtId="164" formatCode="0_ "/>
    <numFmt numFmtId="165" formatCode="0_ ;[Red]\-0\ "/>
    <numFmt numFmtId="166" formatCode="0.00_ "/>
    <numFmt numFmtId="167" formatCode="0.0%"/>
    <numFmt numFmtId="168" formatCode="0_);[Red]\(0\)"/>
    <numFmt numFmtId="169" formatCode="0.0000_ "/>
    <numFmt numFmtId="170" formatCode="0.000_ "/>
    <numFmt numFmtId="171" formatCode="0.00_);[Red]\(0.00\)"/>
  </numFmts>
  <fonts count="81">
    <font>
      <sz val="11.000000"/>
      <color theme="1"/>
      <name val="等线"/>
      <scheme val="minor"/>
    </font>
    <font>
      <u/>
      <sz val="11.000000"/>
      <color indexed="4"/>
      <name val="等线"/>
      <scheme val="minor"/>
    </font>
    <font>
      <u/>
      <sz val="11.000000"/>
      <color indexed="20"/>
      <name val="等线"/>
      <scheme val="minor"/>
    </font>
    <font>
      <sz val="11.000000"/>
      <color indexed="2"/>
      <name val="等线"/>
      <scheme val="minor"/>
    </font>
    <font>
      <b/>
      <sz val="18.000000"/>
      <color theme="3"/>
      <name val="等线"/>
      <scheme val="minor"/>
    </font>
    <font>
      <i/>
      <sz val="11.000000"/>
      <color rgb="FF7F7F7F"/>
      <name val="等线"/>
      <scheme val="minor"/>
    </font>
    <font>
      <b/>
      <sz val="15.000000"/>
      <color theme="3"/>
      <name val="等线"/>
      <scheme val="minor"/>
    </font>
    <font>
      <b/>
      <sz val="13.000000"/>
      <color theme="3"/>
      <name val="等线"/>
      <scheme val="minor"/>
    </font>
    <font>
      <b/>
      <sz val="11.000000"/>
      <color theme="3"/>
      <name val="等线"/>
      <scheme val="minor"/>
    </font>
    <font>
      <sz val="11.000000"/>
      <color rgb="FF3F3F76"/>
      <name val="等线"/>
      <scheme val="minor"/>
    </font>
    <font>
      <b/>
      <sz val="11.000000"/>
      <color rgb="FF3F3F3F"/>
      <name val="等线"/>
      <scheme val="minor"/>
    </font>
    <font>
      <b/>
      <sz val="11.000000"/>
      <color rgb="FFFA7D00"/>
      <name val="等线"/>
      <scheme val="minor"/>
    </font>
    <font>
      <b/>
      <sz val="11.000000"/>
      <color indexed="65"/>
      <name val="等线"/>
      <scheme val="minor"/>
    </font>
    <font>
      <sz val="11.000000"/>
      <color rgb="FFFA7D00"/>
      <name val="等线"/>
      <scheme val="minor"/>
    </font>
    <font>
      <b/>
      <sz val="11.000000"/>
      <color theme="1"/>
      <name val="等线"/>
      <scheme val="minor"/>
    </font>
    <font>
      <sz val="11.000000"/>
      <color rgb="FF006100"/>
      <name val="等线"/>
      <scheme val="minor"/>
    </font>
    <font>
      <sz val="11.000000"/>
      <color rgb="FF9C0006"/>
      <name val="等线"/>
      <scheme val="minor"/>
    </font>
    <font>
      <sz val="11.000000"/>
      <color rgb="FF9C6500"/>
      <name val="等线"/>
      <scheme val="minor"/>
    </font>
    <font>
      <sz val="11.000000"/>
      <color theme="0"/>
      <name val="等线"/>
      <scheme val="minor"/>
    </font>
    <font>
      <sz val="12.000000"/>
      <name val="宋体"/>
    </font>
    <font>
      <sz val="9.000000"/>
      <name val="宋体"/>
    </font>
    <font>
      <sz val="9.000000"/>
      <color theme="1"/>
      <name val="等线"/>
      <scheme val="minor"/>
    </font>
    <font>
      <b/>
      <sz val="16.000000"/>
      <color theme="1"/>
      <name val="等线"/>
      <scheme val="minor"/>
    </font>
    <font>
      <b/>
      <sz val="9.000000"/>
      <color theme="1"/>
      <name val="等线"/>
      <scheme val="minor"/>
    </font>
    <font>
      <b/>
      <sz val="9.000000"/>
      <color indexed="2"/>
      <name val="等线"/>
      <scheme val="minor"/>
    </font>
    <font>
      <b/>
      <sz val="9.000000"/>
      <name val="等线"/>
      <scheme val="minor"/>
    </font>
    <font>
      <b/>
      <sz val="11.000000"/>
      <color indexed="2"/>
      <name val="等线"/>
      <scheme val="minor"/>
    </font>
    <font>
      <sz val="9.000000"/>
      <name val="等线"/>
      <scheme val="minor"/>
    </font>
    <font>
      <sz val="11.000000"/>
      <name val="等线"/>
      <scheme val="minor"/>
    </font>
    <font>
      <sz val="11.000000"/>
      <color indexed="64"/>
      <name val="等线"/>
      <scheme val="minor"/>
    </font>
    <font>
      <b/>
      <sz val="20.000000"/>
      <name val="Microsoft YaHei"/>
    </font>
    <font>
      <sz val="10.000000"/>
      <name val="SimSun"/>
    </font>
    <font>
      <b/>
      <sz val="10.000000"/>
      <name val="SimSun"/>
    </font>
    <font>
      <sz val="18.000000"/>
      <name val="方正小标宋简体"/>
    </font>
    <font>
      <b/>
      <sz val="12.000000"/>
      <name val="宋体"/>
    </font>
    <font>
      <b/>
      <sz val="12.000000"/>
      <color indexed="2"/>
      <name val="宋体"/>
    </font>
    <font>
      <sz val="10.000000"/>
      <name val="宋体"/>
    </font>
    <font>
      <sz val="10.000000"/>
      <color indexed="2"/>
      <name val="宋体"/>
    </font>
    <font>
      <b/>
      <sz val="16.000000"/>
      <name val="宋体"/>
    </font>
    <font>
      <b/>
      <sz val="12.000000"/>
      <color theme="1"/>
      <name val="宋体"/>
    </font>
    <font>
      <sz val="12.000000"/>
      <color theme="1"/>
      <name val="宋体"/>
    </font>
    <font>
      <sz val="10.000000"/>
      <name val="Arial"/>
    </font>
    <font>
      <sz val="10.000000"/>
      <color indexed="64"/>
      <name val="SansSerif"/>
    </font>
    <font>
      <b/>
      <sz val="18.000000"/>
      <color indexed="64"/>
      <name val="宋体"/>
    </font>
    <font>
      <sz val="12.000000"/>
      <color indexed="64"/>
      <name val="宋体"/>
    </font>
    <font>
      <sz val="10.000000"/>
      <color indexed="64"/>
      <name val="宋体"/>
    </font>
    <font>
      <sz val="18.000000"/>
      <name val="黑体"/>
    </font>
    <font>
      <sz val="12.000000"/>
      <name val="黑体"/>
    </font>
    <font>
      <b/>
      <sz val="10.000000"/>
      <name val="Times New Roman"/>
    </font>
    <font>
      <b/>
      <sz val="11.000000"/>
      <name val="等线"/>
      <scheme val="minor"/>
    </font>
    <font>
      <b/>
      <sz val="10.000000"/>
      <name val="宋体"/>
    </font>
    <font>
      <sz val="10.000000"/>
      <name val="等线"/>
      <scheme val="minor"/>
    </font>
    <font>
      <sz val="11.000000"/>
      <color indexed="2"/>
      <name val="宋体"/>
    </font>
    <font>
      <sz val="11.000000"/>
      <name val="宋体"/>
    </font>
    <font>
      <sz val="10.000000"/>
      <name val="Times New Roman"/>
    </font>
    <font>
      <sz val="12.000000"/>
      <color theme="1"/>
      <name val="Times New Roman"/>
    </font>
    <font>
      <sz val="24.000000"/>
      <color theme="1"/>
      <name val="方正小标宋_GBK"/>
    </font>
    <font>
      <sz val="10.000000"/>
      <color theme="1"/>
      <name val="方正小标宋_GBK"/>
    </font>
    <font>
      <sz val="12.000000"/>
      <color theme="1"/>
      <name val="方正黑体_GBK"/>
    </font>
    <font>
      <sz val="9.000000"/>
      <color theme="1"/>
      <name val="宋体"/>
    </font>
    <font>
      <b/>
      <sz val="16.000000"/>
      <name val="Times New Roman"/>
    </font>
    <font>
      <sz val="10.000000"/>
      <name val="方正书宋_GBK"/>
    </font>
    <font>
      <b/>
      <sz val="16.000000"/>
      <name val="方正书宋_GBK"/>
    </font>
    <font>
      <b/>
      <sz val="12.000000"/>
      <name val="Times New Roman"/>
    </font>
    <font>
      <b/>
      <sz val="10.000000"/>
      <name val="Arial"/>
    </font>
    <font>
      <b/>
      <sz val="10.000000"/>
      <name val="方正书宋_GBK"/>
    </font>
    <font>
      <b/>
      <sz val="12.000000"/>
      <color theme="1"/>
      <name val="Times New Roman"/>
    </font>
    <font>
      <sz val="12.000000"/>
      <name val="Times New Roman"/>
    </font>
    <font>
      <sz val="12.000000"/>
      <name val="方正书宋_GBK"/>
    </font>
    <font>
      <sz val="18.000000"/>
      <color indexed="64"/>
      <name val="方正小标宋_GBK"/>
    </font>
    <font>
      <b/>
      <sz val="11.000000"/>
      <color indexed="64"/>
      <name val="宋体"/>
    </font>
    <font>
      <sz val="11.000000"/>
      <color indexed="64"/>
      <name val="宋体"/>
    </font>
    <font>
      <sz val="10.000000"/>
      <name val="Cambria"/>
      <scheme val="major"/>
    </font>
    <font>
      <b/>
      <sz val="16.000000"/>
      <name val="等线"/>
      <scheme val="minor"/>
    </font>
    <font>
      <b/>
      <sz val="10.000000"/>
      <name val="等线"/>
      <scheme val="minor"/>
    </font>
    <font>
      <sz val="10.000000"/>
      <color rgb="FF00B050"/>
      <name val="Cambria"/>
      <scheme val="major"/>
    </font>
    <font>
      <sz val="10.000000"/>
      <color indexed="2"/>
      <name val="Cambria"/>
      <scheme val="major"/>
    </font>
    <font>
      <sz val="10.000000"/>
      <name val="黑体"/>
    </font>
    <font>
      <sz val="10.000000"/>
      <color indexed="2"/>
      <name val="Arial"/>
    </font>
    <font>
      <b/>
      <sz val="14.000000"/>
      <name val="等线"/>
      <scheme val="minor"/>
    </font>
    <font>
      <b/>
      <sz val="18.000000"/>
      <name val="等线"/>
      <scheme val="minor"/>
    </font>
  </fonts>
  <fills count="38">
    <fill>
      <patternFill patternType="none"/>
    </fill>
    <fill>
      <patternFill patternType="gray125"/>
    </fill>
    <fill>
      <patternFill patternType="solid">
        <fgColor indexed="26"/>
        <bgColor indexed="26"/>
      </patternFill>
    </fill>
    <fill>
      <patternFill patternType="solid">
        <fgColor indexed="47"/>
        <bgColor indexed="47"/>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7CE"/>
        <bgColor rgb="FFFFC7CE"/>
      </patternFill>
    </fill>
    <fill>
      <patternFill patternType="solid">
        <fgColor rgb="FFFFEB9C"/>
        <bgColor rgb="FFFFEB9C"/>
      </patternFill>
    </fill>
    <fill>
      <patternFill patternType="solid">
        <fgColor theme="4"/>
        <bgColor theme="4"/>
      </patternFill>
    </fill>
    <fill>
      <patternFill patternType="solid">
        <fgColor theme="4" tint="0.79998168889431398"/>
        <bgColor theme="4" tint="0.79998168889431398"/>
      </patternFill>
    </fill>
    <fill>
      <patternFill patternType="solid">
        <fgColor theme="4" tint="0.59999389629810496"/>
        <bgColor theme="4" tint="0.59999389629810496"/>
      </patternFill>
    </fill>
    <fill>
      <patternFill patternType="solid">
        <fgColor theme="4" tint="0.39997558519241899"/>
        <bgColor theme="4" tint="0.39997558519241899"/>
      </patternFill>
    </fill>
    <fill>
      <patternFill patternType="solid">
        <fgColor theme="5"/>
        <bgColor theme="5"/>
      </patternFill>
    </fill>
    <fill>
      <patternFill patternType="solid">
        <fgColor theme="5" tint="0.79998168889431398"/>
        <bgColor theme="5" tint="0.79998168889431398"/>
      </patternFill>
    </fill>
    <fill>
      <patternFill patternType="solid">
        <fgColor theme="5" tint="0.59999389629810496"/>
        <bgColor theme="5" tint="0.59999389629810496"/>
      </patternFill>
    </fill>
    <fill>
      <patternFill patternType="solid">
        <fgColor theme="5" tint="0.39997558519241899"/>
        <bgColor theme="5" tint="0.39997558519241899"/>
      </patternFill>
    </fill>
    <fill>
      <patternFill patternType="solid">
        <fgColor theme="6"/>
        <bgColor theme="6"/>
      </patternFill>
    </fill>
    <fill>
      <patternFill patternType="solid">
        <fgColor theme="6" tint="0.79998168889431398"/>
        <bgColor theme="6" tint="0.79998168889431398"/>
      </patternFill>
    </fill>
    <fill>
      <patternFill patternType="solid">
        <fgColor theme="6" tint="0.59999389629810496"/>
        <bgColor theme="6" tint="0.59999389629810496"/>
      </patternFill>
    </fill>
    <fill>
      <patternFill patternType="solid">
        <fgColor theme="6" tint="0.39997558519241899"/>
        <bgColor theme="6" tint="0.39997558519241899"/>
      </patternFill>
    </fill>
    <fill>
      <patternFill patternType="solid">
        <fgColor theme="7"/>
        <bgColor theme="7"/>
      </patternFill>
    </fill>
    <fill>
      <patternFill patternType="solid">
        <fgColor theme="7" tint="0.79998168889431398"/>
        <bgColor theme="7" tint="0.79998168889431398"/>
      </patternFill>
    </fill>
    <fill>
      <patternFill patternType="solid">
        <fgColor theme="7" tint="0.59999389629810496"/>
        <bgColor theme="7" tint="0.59999389629810496"/>
      </patternFill>
    </fill>
    <fill>
      <patternFill patternType="solid">
        <fgColor theme="7" tint="0.39997558519241899"/>
        <bgColor theme="7" tint="0.39997558519241899"/>
      </patternFill>
    </fill>
    <fill>
      <patternFill patternType="solid">
        <fgColor theme="8"/>
        <bgColor theme="8"/>
      </patternFill>
    </fill>
    <fill>
      <patternFill patternType="solid">
        <fgColor theme="8" tint="0.79998168889431398"/>
        <bgColor theme="8" tint="0.79998168889431398"/>
      </patternFill>
    </fill>
    <fill>
      <patternFill patternType="solid">
        <fgColor theme="8" tint="0.59999389629810496"/>
        <bgColor theme="8" tint="0.59999389629810496"/>
      </patternFill>
    </fill>
    <fill>
      <patternFill patternType="solid">
        <fgColor theme="8" tint="0.39997558519241899"/>
        <bgColor theme="8" tint="0.39997558519241899"/>
      </patternFill>
    </fill>
    <fill>
      <patternFill patternType="solid">
        <fgColor theme="9"/>
        <bgColor theme="9"/>
      </patternFill>
    </fill>
    <fill>
      <patternFill patternType="solid">
        <fgColor theme="9" tint="0.79998168889431398"/>
        <bgColor theme="9" tint="0.79998168889431398"/>
      </patternFill>
    </fill>
    <fill>
      <patternFill patternType="solid">
        <fgColor theme="9" tint="0.59999389629810496"/>
        <bgColor theme="9" tint="0.59999389629810496"/>
      </patternFill>
    </fill>
    <fill>
      <patternFill patternType="solid">
        <fgColor theme="9" tint="0.39997558519241899"/>
        <bgColor theme="9" tint="0.39997558519241899"/>
      </patternFill>
    </fill>
    <fill>
      <patternFill patternType="solid">
        <fgColor rgb="FF00B0F0"/>
        <bgColor rgb="FF00B0F0"/>
      </patternFill>
    </fill>
    <fill>
      <patternFill patternType="solid">
        <fgColor indexed="5"/>
        <bgColor indexed="5"/>
      </patternFill>
    </fill>
    <fill>
      <patternFill patternType="solid">
        <fgColor rgb="FF92D050"/>
        <bgColor rgb="FF92D050"/>
      </patternFill>
    </fill>
    <fill>
      <patternFill patternType="solid">
        <fgColor rgb="FFFFC000"/>
        <bgColor rgb="FFFFC000"/>
      </patternFill>
    </fill>
    <fill>
      <patternFill patternType="solid">
        <fgColor theme="0"/>
        <bgColor theme="0"/>
      </patternFill>
    </fill>
  </fills>
  <borders count="28">
    <border>
      <left style="none"/>
      <right style="none"/>
      <top style="none"/>
      <bottom style="none"/>
      <diagonal style="none"/>
    </border>
    <border>
      <left style="thin">
        <color rgb="FFB2B2B2"/>
      </left>
      <right style="thin">
        <color rgb="FFB2B2B2"/>
      </right>
      <top style="thin">
        <color rgb="FFB2B2B2"/>
      </top>
      <bottom style="thin">
        <color rgb="FFB2B2B2"/>
      </bottom>
      <diagonal style="none"/>
    </border>
    <border>
      <left style="none"/>
      <right style="none"/>
      <top style="none"/>
      <bottom style="medium">
        <color theme="4"/>
      </bottom>
      <diagonal style="none"/>
    </border>
    <border>
      <left style="none"/>
      <right style="none"/>
      <top style="none"/>
      <bottom style="medium">
        <color theme="4" tint="0.499984740745262"/>
      </bottom>
      <diagonal style="none"/>
    </border>
    <border>
      <left style="thin">
        <color rgb="FF7F7F7F"/>
      </left>
      <right style="thin">
        <color rgb="FF7F7F7F"/>
      </right>
      <top style="thin">
        <color rgb="FF7F7F7F"/>
      </top>
      <bottom style="thin">
        <color rgb="FF7F7F7F"/>
      </bottom>
      <diagonal style="none"/>
    </border>
    <border>
      <left style="thin">
        <color rgb="FF3F3F3F"/>
      </left>
      <right style="thin">
        <color rgb="FF3F3F3F"/>
      </right>
      <top style="thin">
        <color rgb="FF3F3F3F"/>
      </top>
      <bottom style="thin">
        <color rgb="FF3F3F3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double">
        <color rgb="FFFF8001"/>
      </bottom>
      <diagonal style="none"/>
    </border>
    <border>
      <left style="none"/>
      <right style="none"/>
      <top style="thin">
        <color theme="4"/>
      </top>
      <bottom style="double">
        <color theme="4"/>
      </bottom>
      <diagonal style="none"/>
    </border>
    <border>
      <left style="thin">
        <color auto="1"/>
      </left>
      <right style="thin">
        <color auto="1"/>
      </right>
      <top style="thin">
        <color auto="1"/>
      </top>
      <bottom style="none"/>
      <diagonal style="none"/>
    </border>
    <border>
      <left style="thin">
        <color auto="1"/>
      </left>
      <right style="thin">
        <color auto="1"/>
      </right>
      <top style="thin">
        <color auto="1"/>
      </top>
      <bottom style="thin">
        <color auto="1"/>
      </bottom>
      <diagonal style="none"/>
    </border>
    <border>
      <left style="thin">
        <color auto="1"/>
      </left>
      <right style="thin">
        <color auto="1"/>
      </right>
      <top style="none"/>
      <bottom style="none"/>
      <diagonal style="none"/>
    </border>
    <border>
      <left style="thin">
        <color auto="1"/>
      </left>
      <right style="thin">
        <color auto="1"/>
      </right>
      <top style="none"/>
      <bottom style="thin">
        <color auto="1"/>
      </bottom>
      <diagonal style="none"/>
    </border>
    <border>
      <left style="thin">
        <color auto="1"/>
      </left>
      <right style="none"/>
      <top style="thin">
        <color auto="1"/>
      </top>
      <bottom style="thin">
        <color auto="1"/>
      </bottom>
      <diagonal style="none"/>
    </border>
    <border>
      <left style="none"/>
      <right style="none"/>
      <top style="thin">
        <color auto="1"/>
      </top>
      <bottom style="thin">
        <color auto="1"/>
      </bottom>
      <diagonal style="none"/>
    </border>
    <border>
      <left style="none"/>
      <right style="thin">
        <color auto="1"/>
      </right>
      <top style="thin">
        <color auto="1"/>
      </top>
      <bottom style="thin">
        <color auto="1"/>
      </bottom>
      <diagonal style="none"/>
    </border>
    <border>
      <left style="none"/>
      <right style="thin">
        <color auto="1"/>
      </right>
      <top style="none"/>
      <bottom style="none"/>
      <diagonal style="none"/>
    </border>
    <border>
      <left style="thin">
        <color indexed="64"/>
      </left>
      <right style="thin">
        <color indexed="64"/>
      </right>
      <top style="thin">
        <color indexed="64"/>
      </top>
      <bottom style="thin">
        <color indexed="64"/>
      </bottom>
      <diagonal style="none"/>
    </border>
    <border>
      <left style="thin">
        <color indexed="64"/>
      </left>
      <right style="thin">
        <color indexed="64"/>
      </right>
      <top style="dotted">
        <color indexed="64"/>
      </top>
      <bottom style="thin">
        <color indexed="64"/>
      </bottom>
      <diagonal style="none"/>
    </border>
    <border>
      <left style="dotted">
        <color indexed="64"/>
      </left>
      <right style="thin">
        <color indexed="64"/>
      </right>
      <top style="thin">
        <color indexed="64"/>
      </top>
      <bottom style="thin">
        <color indexed="64"/>
      </bottom>
      <diagonal style="none"/>
    </border>
    <border>
      <left style="dotted">
        <color indexed="64"/>
      </left>
      <right style="dotted">
        <color indexed="64"/>
      </right>
      <top style="thin">
        <color indexed="64"/>
      </top>
      <bottom style="thin">
        <color indexed="64"/>
      </bottom>
      <diagonal style="none"/>
    </border>
    <border>
      <left style="thin">
        <color auto="1"/>
      </left>
      <right style="none"/>
      <top style="thin">
        <color auto="1"/>
      </top>
      <bottom style="none"/>
      <diagonal style="none"/>
    </border>
    <border>
      <left style="none"/>
      <right style="thin">
        <color auto="1"/>
      </right>
      <top style="thin">
        <color auto="1"/>
      </top>
      <bottom style="none"/>
      <diagonal style="none"/>
    </border>
    <border>
      <left style="thin">
        <color auto="1"/>
      </left>
      <right style="none"/>
      <top style="none"/>
      <bottom style="thin">
        <color auto="1"/>
      </bottom>
      <diagonal style="none"/>
    </border>
    <border>
      <left style="none"/>
      <right style="none"/>
      <top style="none"/>
      <bottom style="thin">
        <color auto="1"/>
      </bottom>
      <diagonal style="none"/>
    </border>
    <border>
      <left style="none"/>
      <right style="thin">
        <color auto="1"/>
      </right>
      <top style="none"/>
      <bottom style="thin">
        <color auto="1"/>
      </bottom>
      <diagonal style="none"/>
    </border>
    <border>
      <left style="none"/>
      <right style="none"/>
      <top style="thin">
        <color auto="1"/>
      </top>
      <bottom style="none"/>
      <diagonal style="none"/>
    </border>
    <border>
      <left style="thin">
        <color indexed="64"/>
      </left>
      <right style="thin">
        <color indexed="64"/>
      </right>
      <top style="none"/>
      <bottom style="thin">
        <color indexed="64"/>
      </bottom>
      <diagonal style="none"/>
    </border>
  </borders>
  <cellStyleXfs count="52">
    <xf fontId="0" fillId="0" borderId="0" numFmtId="0" applyNumberFormat="1" applyFont="1" applyFill="1" applyBorder="1">
      <alignment vertical="center"/>
    </xf>
    <xf fontId="0" fillId="0" borderId="0" numFmtId="160" applyNumberFormat="1" applyFont="0" applyFill="0" applyBorder="0" applyProtection="0">
      <alignment vertical="center"/>
    </xf>
    <xf fontId="0" fillId="0" borderId="0" numFmtId="161" applyNumberFormat="1" applyFont="0" applyFill="0" applyBorder="0" applyProtection="0">
      <alignment vertical="center"/>
    </xf>
    <xf fontId="0" fillId="0" borderId="0" numFmtId="9" applyNumberFormat="1" applyFont="0" applyFill="0" applyBorder="0" applyProtection="0">
      <alignment vertical="center"/>
    </xf>
    <xf fontId="0" fillId="0" borderId="0" numFmtId="162" applyNumberFormat="1" applyFont="0" applyFill="0" applyBorder="0" applyProtection="0">
      <alignment vertical="center"/>
    </xf>
    <xf fontId="0" fillId="0" borderId="0" numFmtId="163" applyNumberFormat="1" applyFont="0" applyFill="0" applyBorder="0" applyProtection="0">
      <alignment vertical="center"/>
    </xf>
    <xf fontId="1" fillId="0" borderId="0" numFmtId="0" applyNumberFormat="0" applyFont="1" applyFill="0" applyBorder="0" applyProtection="0">
      <alignment vertical="center"/>
    </xf>
    <xf fontId="2" fillId="0" borderId="0" numFmtId="0" applyNumberFormat="0" applyFont="1" applyFill="0" applyBorder="0" applyProtection="0">
      <alignment vertical="center"/>
    </xf>
    <xf fontId="0" fillId="2" borderId="1" numFmtId="0" applyNumberFormat="0" applyFont="0" applyFill="1" applyBorder="1" applyProtection="0">
      <alignment vertical="center"/>
    </xf>
    <xf fontId="3" fillId="0" borderId="0" numFmtId="0" applyNumberFormat="0" applyFont="1" applyFill="0" applyBorder="0" applyProtection="0">
      <alignment vertical="center"/>
    </xf>
    <xf fontId="4" fillId="0" borderId="0" numFmtId="0" applyNumberFormat="0" applyFont="1" applyFill="0" applyBorder="0" applyProtection="0">
      <alignment vertical="center"/>
    </xf>
    <xf fontId="5" fillId="0" borderId="0" numFmtId="0" applyNumberFormat="0" applyFont="1" applyFill="0" applyBorder="0" applyProtection="0">
      <alignment vertical="center"/>
    </xf>
    <xf fontId="6" fillId="0" borderId="2" numFmtId="0" applyNumberFormat="0" applyFont="1" applyFill="0" applyBorder="1" applyProtection="0">
      <alignment vertical="center"/>
    </xf>
    <xf fontId="7" fillId="0" borderId="2" numFmtId="0" applyNumberFormat="0" applyFont="1" applyFill="0" applyBorder="1" applyProtection="0">
      <alignment vertical="center"/>
    </xf>
    <xf fontId="8" fillId="0" borderId="3" numFmtId="0" applyNumberFormat="0" applyFont="1" applyFill="0" applyBorder="1" applyProtection="0">
      <alignment vertical="center"/>
    </xf>
    <xf fontId="8" fillId="0" borderId="0" numFmtId="0" applyNumberFormat="0" applyFont="1" applyFill="0" applyBorder="0" applyProtection="0">
      <alignment vertical="center"/>
    </xf>
    <xf fontId="9" fillId="3" borderId="4" numFmtId="0" applyNumberFormat="0" applyFont="1" applyFill="1" applyBorder="1" applyProtection="0">
      <alignment vertical="center"/>
    </xf>
    <xf fontId="10" fillId="4" borderId="5" numFmtId="0" applyNumberFormat="0" applyFont="1" applyFill="1" applyBorder="1" applyProtection="0">
      <alignment vertical="center"/>
    </xf>
    <xf fontId="11" fillId="4" borderId="4" numFmtId="0" applyNumberFormat="0" applyFont="1" applyFill="1" applyBorder="1" applyProtection="0">
      <alignment vertical="center"/>
    </xf>
    <xf fontId="12" fillId="5" borderId="6" numFmtId="0" applyNumberFormat="0" applyFont="1" applyFill="1" applyBorder="1" applyProtection="0">
      <alignment vertical="center"/>
    </xf>
    <xf fontId="13" fillId="0" borderId="7" numFmtId="0" applyNumberFormat="0" applyFont="1" applyFill="0" applyBorder="1" applyProtection="0">
      <alignment vertical="center"/>
    </xf>
    <xf fontId="14" fillId="0" borderId="8" numFmtId="0" applyNumberFormat="0" applyFont="1" applyFill="0" applyBorder="1" applyProtection="0">
      <alignment vertical="center"/>
    </xf>
    <xf fontId="15" fillId="6" borderId="0" numFmtId="0" applyNumberFormat="0" applyFont="1" applyFill="1" applyBorder="0" applyProtection="0">
      <alignment vertical="center"/>
    </xf>
    <xf fontId="16" fillId="7" borderId="0" numFmtId="0" applyNumberFormat="0" applyFont="1" applyFill="1" applyBorder="0" applyProtection="0">
      <alignment vertical="center"/>
    </xf>
    <xf fontId="17" fillId="8" borderId="0" numFmtId="0" applyNumberFormat="0" applyFont="1" applyFill="1" applyBorder="0" applyProtection="0">
      <alignment vertical="center"/>
    </xf>
    <xf fontId="18" fillId="9" borderId="0" numFmtId="0" applyNumberFormat="0" applyFont="1" applyFill="1" applyBorder="0" applyProtection="0">
      <alignment vertical="center"/>
    </xf>
    <xf fontId="0" fillId="10" borderId="0" numFmtId="0" applyNumberFormat="0" applyFont="1" applyFill="1" applyBorder="0" applyProtection="0">
      <alignment vertical="center"/>
    </xf>
    <xf fontId="0" fillId="11" borderId="0" numFmtId="0" applyNumberFormat="0" applyFont="1" applyFill="1" applyBorder="0" applyProtection="0">
      <alignment vertical="center"/>
    </xf>
    <xf fontId="18" fillId="12" borderId="0" numFmtId="0" applyNumberFormat="0" applyFont="1" applyFill="1" applyBorder="0" applyProtection="0">
      <alignment vertical="center"/>
    </xf>
    <xf fontId="18" fillId="13" borderId="0" numFmtId="0" applyNumberFormat="0" applyFont="1" applyFill="1" applyBorder="0" applyProtection="0">
      <alignment vertical="center"/>
    </xf>
    <xf fontId="0" fillId="14" borderId="0" numFmtId="0" applyNumberFormat="0" applyFont="1" applyFill="1" applyBorder="0" applyProtection="0">
      <alignment vertical="center"/>
    </xf>
    <xf fontId="0" fillId="15" borderId="0" numFmtId="0" applyNumberFormat="0" applyFont="1" applyFill="1" applyBorder="0" applyProtection="0">
      <alignment vertical="center"/>
    </xf>
    <xf fontId="18" fillId="16" borderId="0" numFmtId="0" applyNumberFormat="0" applyFont="1" applyFill="1" applyBorder="0" applyProtection="0">
      <alignment vertical="center"/>
    </xf>
    <xf fontId="18" fillId="17" borderId="0" numFmtId="0" applyNumberFormat="0" applyFont="1" applyFill="1" applyBorder="0" applyProtection="0">
      <alignment vertical="center"/>
    </xf>
    <xf fontId="0" fillId="18" borderId="0" numFmtId="0" applyNumberFormat="0" applyFont="1" applyFill="1" applyBorder="0" applyProtection="0">
      <alignment vertical="center"/>
    </xf>
    <xf fontId="0" fillId="19" borderId="0" numFmtId="0" applyNumberFormat="0" applyFont="1" applyFill="1" applyBorder="0" applyProtection="0">
      <alignment vertical="center"/>
    </xf>
    <xf fontId="18" fillId="20" borderId="0" numFmtId="0" applyNumberFormat="0" applyFont="1" applyFill="1" applyBorder="0" applyProtection="0">
      <alignment vertical="center"/>
    </xf>
    <xf fontId="18" fillId="21" borderId="0" numFmtId="0" applyNumberFormat="0" applyFont="1" applyFill="1" applyBorder="0" applyProtection="0">
      <alignment vertical="center"/>
    </xf>
    <xf fontId="0" fillId="22" borderId="0" numFmtId="0" applyNumberFormat="0" applyFont="1" applyFill="1" applyBorder="0" applyProtection="0">
      <alignment vertical="center"/>
    </xf>
    <xf fontId="0" fillId="23" borderId="0" numFmtId="0" applyNumberFormat="0" applyFont="1" applyFill="1" applyBorder="0" applyProtection="0">
      <alignment vertical="center"/>
    </xf>
    <xf fontId="18" fillId="24" borderId="0" numFmtId="0" applyNumberFormat="0" applyFont="1" applyFill="1" applyBorder="0" applyProtection="0">
      <alignment vertical="center"/>
    </xf>
    <xf fontId="18" fillId="25" borderId="0" numFmtId="0" applyNumberFormat="0" applyFont="1" applyFill="1" applyBorder="0" applyProtection="0">
      <alignment vertical="center"/>
    </xf>
    <xf fontId="0" fillId="26" borderId="0" numFmtId="0" applyNumberFormat="0" applyFont="1" applyFill="1" applyBorder="0" applyProtection="0">
      <alignment vertical="center"/>
    </xf>
    <xf fontId="0" fillId="27" borderId="0" numFmtId="0" applyNumberFormat="0" applyFont="1" applyFill="1" applyBorder="0" applyProtection="0">
      <alignment vertical="center"/>
    </xf>
    <xf fontId="18" fillId="28" borderId="0" numFmtId="0" applyNumberFormat="0" applyFont="1" applyFill="1" applyBorder="0" applyProtection="0">
      <alignment vertical="center"/>
    </xf>
    <xf fontId="18" fillId="29" borderId="0" numFmtId="0" applyNumberFormat="0" applyFont="1" applyFill="1" applyBorder="0" applyProtection="0">
      <alignment vertical="center"/>
    </xf>
    <xf fontId="0" fillId="30" borderId="0" numFmtId="0" applyNumberFormat="0" applyFont="1" applyFill="1" applyBorder="0" applyProtection="0">
      <alignment vertical="center"/>
    </xf>
    <xf fontId="0" fillId="31" borderId="0" numFmtId="0" applyNumberFormat="0" applyFont="1" applyFill="1" applyBorder="0" applyProtection="0">
      <alignment vertical="center"/>
    </xf>
    <xf fontId="18" fillId="32" borderId="0" numFmtId="0" applyNumberFormat="0" applyFont="1" applyFill="1" applyBorder="0" applyProtection="0">
      <alignment vertical="center"/>
    </xf>
    <xf fontId="19" fillId="0" borderId="0" numFmtId="0" applyNumberFormat="1" applyFont="1" applyFill="1" applyBorder="1"/>
    <xf fontId="19" fillId="0" borderId="0" numFmtId="0" applyNumberFormat="1" applyFont="1" applyFill="1" applyBorder="1">
      <alignment vertical="center"/>
    </xf>
    <xf fontId="20" fillId="0" borderId="0" numFmtId="0" applyNumberFormat="1" applyFont="1" applyFill="1" applyBorder="1">
      <alignment vertical="top" wrapText="1"/>
      <protection locked="0"/>
    </xf>
  </cellStyleXfs>
  <cellXfs count="468">
    <xf fontId="0" fillId="0" borderId="0" numFmtId="0" xfId="0" applyAlignment="1">
      <alignment vertical="center"/>
    </xf>
    <xf fontId="21" fillId="0" borderId="0" numFmtId="0" xfId="0" applyFont="1" applyAlignment="1">
      <alignment vertical="center"/>
    </xf>
    <xf fontId="21" fillId="0" borderId="0" numFmtId="0" xfId="0" applyFont="1" applyAlignment="1">
      <alignment vertical="center" wrapText="1"/>
    </xf>
    <xf fontId="21" fillId="0" borderId="0" numFmtId="0" xfId="0" applyFont="1" applyAlignment="1">
      <alignment horizontal="center" vertical="center"/>
    </xf>
    <xf fontId="21" fillId="0" borderId="0" numFmtId="164" xfId="0" applyNumberFormat="1" applyFont="1" applyAlignment="1">
      <alignment vertical="center"/>
    </xf>
    <xf fontId="0" fillId="0" borderId="0" numFmtId="0" xfId="0" applyAlignment="1">
      <alignment vertical="center"/>
    </xf>
    <xf fontId="21" fillId="0" borderId="0" numFmtId="0" xfId="0" applyFont="1" applyAlignment="1">
      <alignment horizontal="right" vertical="center"/>
    </xf>
    <xf fontId="22" fillId="0" borderId="0" numFmtId="0" xfId="0" applyFont="1" applyAlignment="1" applyProtection="1">
      <alignment horizontal="center" vertical="center"/>
      <protection locked="0"/>
    </xf>
    <xf fontId="22" fillId="0" borderId="0" numFmtId="164" xfId="0" applyNumberFormat="1" applyFont="1" applyAlignment="1" applyProtection="1">
      <alignment horizontal="center" vertical="center"/>
      <protection locked="0"/>
    </xf>
    <xf fontId="21" fillId="0" borderId="0" numFmtId="0" xfId="0" applyFont="1" applyAlignment="1">
      <alignment horizontal="center" vertical="center" wrapText="1"/>
    </xf>
    <xf fontId="14" fillId="0" borderId="0" numFmtId="0" xfId="0" applyFont="1" applyAlignment="1">
      <alignment vertical="center"/>
    </xf>
    <xf fontId="23" fillId="0" borderId="9" numFmtId="0" xfId="0" applyFont="1" applyBorder="1" applyAlignment="1" applyProtection="1">
      <alignment horizontal="center" vertical="center" wrapText="1"/>
    </xf>
    <xf fontId="24" fillId="0" borderId="9" numFmtId="0" xfId="0" applyFont="1" applyBorder="1" applyAlignment="1" applyProtection="1">
      <alignment horizontal="center" vertical="center" wrapText="1"/>
    </xf>
    <xf fontId="25" fillId="0" borderId="10" numFmtId="0" xfId="50" applyFont="1" applyBorder="1" applyAlignment="1">
      <alignment horizontal="center" vertical="center" wrapText="1"/>
    </xf>
    <xf fontId="25" fillId="0" borderId="10" numFmtId="0" xfId="0" applyFont="1" applyBorder="1" applyAlignment="1">
      <alignment horizontal="center" vertical="center" wrapText="1"/>
    </xf>
    <xf fontId="24" fillId="0" borderId="10" numFmtId="0" xfId="0" applyFont="1" applyBorder="1" applyAlignment="1">
      <alignment horizontal="center" vertical="center" wrapText="1"/>
    </xf>
    <xf fontId="23" fillId="0" borderId="10" numFmtId="164" xfId="0" applyNumberFormat="1" applyFont="1" applyBorder="1" applyAlignment="1">
      <alignment horizontal="center" vertical="center" wrapText="1"/>
    </xf>
    <xf fontId="23" fillId="0" borderId="10" numFmtId="0" xfId="0" applyFont="1" applyBorder="1" applyAlignment="1">
      <alignment horizontal="center" vertical="center" wrapText="1"/>
    </xf>
    <xf fontId="23" fillId="0" borderId="11" numFmtId="0" xfId="0" applyFont="1" applyBorder="1" applyAlignment="1" applyProtection="1">
      <alignment horizontal="center" vertical="center" wrapText="1"/>
    </xf>
    <xf fontId="24" fillId="0" borderId="11" numFmtId="0" xfId="0" applyFont="1" applyBorder="1" applyAlignment="1" applyProtection="1">
      <alignment horizontal="center" vertical="center" wrapText="1"/>
    </xf>
    <xf fontId="23" fillId="0" borderId="10" numFmtId="0" xfId="0" applyFont="1" applyBorder="1" applyAlignment="1" applyProtection="1">
      <alignment horizontal="center" vertical="center" wrapText="1"/>
    </xf>
    <xf fontId="23" fillId="0" borderId="12" numFmtId="0" xfId="0" applyFont="1" applyBorder="1" applyAlignment="1" applyProtection="1">
      <alignment horizontal="center" vertical="center" wrapText="1"/>
    </xf>
    <xf fontId="24" fillId="0" borderId="12" numFmtId="0" xfId="0" applyFont="1" applyBorder="1" applyAlignment="1" applyProtection="1">
      <alignment horizontal="center" vertical="center" wrapText="1"/>
    </xf>
    <xf fontId="25" fillId="0" borderId="10" numFmtId="0" xfId="0" applyFont="1" applyBorder="1" applyAlignment="1">
      <alignment vertical="center" wrapText="1"/>
    </xf>
    <xf fontId="24" fillId="0" borderId="10" numFmtId="0" xfId="0" applyFont="1" applyBorder="1" applyAlignment="1">
      <alignment vertical="center" wrapText="1"/>
    </xf>
    <xf fontId="25" fillId="0" borderId="10" numFmtId="164" xfId="0" applyNumberFormat="1" applyFont="1" applyBorder="1" applyAlignment="1">
      <alignment horizontal="center" vertical="center" wrapText="1"/>
    </xf>
    <xf fontId="24" fillId="0" borderId="10" numFmtId="164" xfId="0" applyNumberFormat="1" applyFont="1" applyBorder="1" applyAlignment="1">
      <alignment horizontal="center" vertical="center" wrapText="1"/>
    </xf>
    <xf fontId="26" fillId="0" borderId="0" numFmtId="0" xfId="0" applyFont="1" applyAlignment="1">
      <alignment vertical="center"/>
    </xf>
    <xf fontId="23" fillId="0" borderId="13" numFmtId="0" xfId="0" applyFont="1" applyBorder="1" applyAlignment="1" applyProtection="1">
      <alignment horizontal="center" vertical="center" wrapText="1"/>
    </xf>
    <xf fontId="23" fillId="0" borderId="10" numFmtId="164" xfId="0" applyNumberFormat="1" applyFont="1" applyBorder="1" applyAlignment="1" applyProtection="1">
      <alignment horizontal="center" vertical="center" wrapText="1"/>
    </xf>
    <xf fontId="0" fillId="33" borderId="0" numFmtId="0" xfId="0" applyFill="1" applyAlignment="1">
      <alignment vertical="center"/>
    </xf>
    <xf fontId="21" fillId="33" borderId="10" numFmtId="0" xfId="0" applyFont="1" applyFill="1" applyBorder="1" applyAlignment="1">
      <alignment vertical="center"/>
    </xf>
    <xf fontId="23" fillId="33" borderId="10" numFmtId="0" xfId="0" applyFont="1" applyFill="1" applyBorder="1" applyAlignment="1" applyProtection="1">
      <alignment horizontal="center" vertical="center" wrapText="1"/>
    </xf>
    <xf fontId="21" fillId="33" borderId="10" numFmtId="0" xfId="0" applyFont="1" applyFill="1" applyBorder="1" applyAlignment="1" applyProtection="1">
      <alignment horizontal="center" vertical="center"/>
    </xf>
    <xf fontId="23" fillId="33" borderId="10" numFmtId="0" xfId="0" applyFont="1" applyFill="1" applyBorder="1" applyAlignment="1" applyProtection="1">
      <alignment horizontal="center" vertical="center"/>
    </xf>
    <xf fontId="23" fillId="33" borderId="13" numFmtId="0" xfId="0" applyFont="1" applyFill="1" applyBorder="1" applyAlignment="1" applyProtection="1">
      <alignment horizontal="center" vertical="center"/>
    </xf>
    <xf fontId="27" fillId="0" borderId="10" numFmtId="0" xfId="0" applyFont="1" applyBorder="1" applyAlignment="1" applyProtection="1">
      <alignment vertical="center"/>
    </xf>
    <xf fontId="27" fillId="33" borderId="10" numFmtId="164" xfId="0" applyNumberFormat="1" applyFont="1" applyFill="1" applyBorder="1" applyAlignment="1" applyProtection="1">
      <alignment horizontal="right" vertical="center"/>
    </xf>
    <xf fontId="27" fillId="33" borderId="10" numFmtId="164" xfId="0" applyNumberFormat="1" applyFont="1" applyFill="1" applyBorder="1" applyAlignment="1" applyProtection="1">
      <alignment vertical="center"/>
    </xf>
    <xf fontId="27" fillId="33" borderId="10" numFmtId="165" xfId="0" applyNumberFormat="1" applyFont="1" applyFill="1" applyBorder="1" applyAlignment="1" applyProtection="1">
      <alignment horizontal="right" vertical="center"/>
    </xf>
    <xf fontId="27" fillId="33" borderId="10" numFmtId="0" xfId="0" applyFont="1" applyFill="1" applyBorder="1" applyAlignment="1" applyProtection="1">
      <alignment horizontal="right" vertical="center"/>
    </xf>
    <xf fontId="27" fillId="33" borderId="10" numFmtId="166" xfId="0" applyNumberFormat="1" applyFont="1" applyFill="1" applyBorder="1" applyAlignment="1" applyProtection="1">
      <alignment horizontal="right" vertical="center"/>
    </xf>
    <xf fontId="27" fillId="33" borderId="10" numFmtId="167" xfId="0" applyNumberFormat="1" applyFont="1" applyFill="1" applyBorder="1" applyAlignment="1" applyProtection="1">
      <alignment horizontal="right" vertical="center"/>
    </xf>
    <xf fontId="21" fillId="0" borderId="10" numFmtId="167" xfId="0" applyNumberFormat="1" applyFont="1" applyBorder="1" applyAlignment="1">
      <alignment vertical="center"/>
    </xf>
    <xf fontId="21" fillId="0" borderId="10" numFmtId="0" xfId="0" applyFont="1" applyBorder="1" applyAlignment="1">
      <alignment vertical="center"/>
    </xf>
    <xf fontId="21" fillId="0" borderId="10" numFmtId="0" xfId="0" applyFont="1" applyBorder="1" applyAlignment="1" applyProtection="1">
      <alignment horizontal="center" vertical="center" wrapText="1"/>
    </xf>
    <xf fontId="21" fillId="0" borderId="10" numFmtId="0" xfId="0" applyFont="1" applyBorder="1" applyAlignment="1" applyProtection="1">
      <alignment horizontal="center" vertical="center"/>
    </xf>
    <xf fontId="21" fillId="0" borderId="13" numFmtId="0" xfId="0" applyFont="1" applyBorder="1" applyAlignment="1" applyProtection="1">
      <alignment horizontal="center" vertical="center"/>
    </xf>
    <xf fontId="21" fillId="0" borderId="10" numFmtId="165" xfId="0" applyNumberFormat="1" applyFont="1" applyBorder="1" applyAlignment="1">
      <alignment horizontal="right" vertical="center"/>
    </xf>
    <xf fontId="21" fillId="0" borderId="10" numFmtId="164" xfId="0" applyNumberFormat="1" applyFont="1" applyBorder="1" applyAlignment="1">
      <alignment horizontal="right" vertical="center"/>
    </xf>
    <xf fontId="21" fillId="0" borderId="10" numFmtId="164" xfId="0" applyNumberFormat="1" applyFont="1" applyBorder="1" applyAlignment="1">
      <alignment vertical="center"/>
    </xf>
    <xf fontId="21" fillId="0" borderId="10" numFmtId="0" xfId="0" applyFont="1" applyBorder="1" applyAlignment="1">
      <alignment horizontal="right" vertical="center"/>
    </xf>
    <xf fontId="21" fillId="0" borderId="10" numFmtId="166" xfId="0" applyNumberFormat="1" applyFont="1" applyBorder="1" applyAlignment="1">
      <alignment horizontal="right" vertical="center"/>
    </xf>
    <xf fontId="27" fillId="0" borderId="10" numFmtId="0" xfId="0" applyFont="1" applyBorder="1" applyAlignment="1" applyProtection="1">
      <alignment horizontal="right" vertical="center"/>
    </xf>
    <xf fontId="0" fillId="34" borderId="0" numFmtId="0" xfId="0" applyFill="1" applyAlignment="1">
      <alignment vertical="center"/>
    </xf>
    <xf fontId="21" fillId="34" borderId="10" numFmtId="0" xfId="0" applyFont="1" applyFill="1" applyBorder="1" applyAlignment="1">
      <alignment vertical="center"/>
    </xf>
    <xf fontId="21" fillId="34" borderId="10" numFmtId="0" xfId="0" applyFont="1" applyFill="1" applyBorder="1" applyAlignment="1" applyProtection="1">
      <alignment horizontal="center" vertical="center" wrapText="1"/>
    </xf>
    <xf fontId="21" fillId="34" borderId="10" numFmtId="0" xfId="0" applyFont="1" applyFill="1" applyBorder="1" applyAlignment="1" applyProtection="1">
      <alignment horizontal="center" vertical="center"/>
    </xf>
    <xf fontId="21" fillId="34" borderId="13" numFmtId="0" xfId="0" applyFont="1" applyFill="1" applyBorder="1" applyAlignment="1" applyProtection="1">
      <alignment horizontal="center" vertical="center"/>
    </xf>
    <xf fontId="27" fillId="0" borderId="10" numFmtId="164" xfId="0" applyNumberFormat="1" applyFont="1" applyBorder="1" applyAlignment="1" applyProtection="1">
      <alignment horizontal="right" vertical="center"/>
    </xf>
    <xf fontId="27" fillId="0" borderId="10" numFmtId="164" xfId="0" applyNumberFormat="1" applyFont="1" applyBorder="1" applyAlignment="1" applyProtection="1">
      <alignment vertical="center"/>
    </xf>
    <xf fontId="27" fillId="0" borderId="10" numFmtId="165" xfId="0" applyNumberFormat="1" applyFont="1" applyBorder="1" applyAlignment="1" applyProtection="1">
      <alignment horizontal="right" vertical="center"/>
    </xf>
    <xf fontId="27" fillId="0" borderId="10" numFmtId="166" xfId="0" applyNumberFormat="1" applyFont="1" applyBorder="1" applyAlignment="1" applyProtection="1">
      <alignment horizontal="right" vertical="center"/>
    </xf>
    <xf fontId="3" fillId="0" borderId="0" numFmtId="0" xfId="0" applyFont="1" applyAlignment="1">
      <alignment vertical="center"/>
    </xf>
    <xf fontId="0" fillId="35" borderId="0" numFmtId="0" xfId="0" applyFill="1" applyAlignment="1">
      <alignment vertical="center"/>
    </xf>
    <xf fontId="21" fillId="35" borderId="10" numFmtId="0" xfId="0" applyFont="1" applyFill="1" applyBorder="1" applyAlignment="1">
      <alignment vertical="center"/>
    </xf>
    <xf fontId="23" fillId="35" borderId="10" numFmtId="0" xfId="0" applyFont="1" applyFill="1" applyBorder="1" applyAlignment="1" applyProtection="1">
      <alignment vertical="center" wrapText="1"/>
    </xf>
    <xf fontId="23" fillId="35" borderId="10" numFmtId="0" xfId="0" applyFont="1" applyFill="1" applyBorder="1" applyAlignment="1" applyProtection="1">
      <alignment horizontal="center" vertical="center"/>
    </xf>
    <xf fontId="23" fillId="35" borderId="13" numFmtId="0" xfId="0" applyFont="1" applyFill="1" applyBorder="1" applyAlignment="1" applyProtection="1">
      <alignment horizontal="center" vertical="center"/>
    </xf>
    <xf fontId="27" fillId="35" borderId="10" numFmtId="164" xfId="0" applyNumberFormat="1" applyFont="1" applyFill="1" applyBorder="1" applyAlignment="1" applyProtection="1">
      <alignment horizontal="right" vertical="center"/>
    </xf>
    <xf fontId="27" fillId="35" borderId="10" numFmtId="0" xfId="0" applyFont="1" applyFill="1" applyBorder="1" applyAlignment="1" applyProtection="1">
      <alignment horizontal="right" vertical="center"/>
    </xf>
    <xf fontId="27" fillId="35" borderId="10" numFmtId="166" xfId="0" applyNumberFormat="1" applyFont="1" applyFill="1" applyBorder="1" applyAlignment="1" applyProtection="1">
      <alignment horizontal="right" vertical="center"/>
    </xf>
    <xf fontId="21" fillId="0" borderId="10" numFmtId="0" xfId="0" applyFont="1" applyBorder="1" applyAlignment="1" applyProtection="1">
      <alignment vertical="center" wrapText="1"/>
    </xf>
    <xf fontId="21" fillId="0" borderId="10" numFmtId="164" xfId="0" applyNumberFormat="1" applyFont="1" applyBorder="1" applyAlignment="1" applyProtection="1">
      <alignment horizontal="right" vertical="center"/>
    </xf>
    <xf fontId="0" fillId="36" borderId="0" numFmtId="0" xfId="0" applyFill="1" applyAlignment="1">
      <alignment vertical="center"/>
    </xf>
    <xf fontId="21" fillId="36" borderId="10" numFmtId="0" xfId="0" applyFont="1" applyFill="1" applyBorder="1" applyAlignment="1">
      <alignment vertical="center"/>
    </xf>
    <xf fontId="21" fillId="36" borderId="10" numFmtId="0" xfId="0" applyFont="1" applyFill="1" applyBorder="1" applyAlignment="1" applyProtection="1">
      <alignment vertical="center" wrapText="1"/>
    </xf>
    <xf fontId="21" fillId="36" borderId="10" numFmtId="0" xfId="0" applyFont="1" applyFill="1" applyBorder="1" applyAlignment="1" applyProtection="1">
      <alignment horizontal="center" vertical="center"/>
    </xf>
    <xf fontId="21" fillId="36" borderId="13" numFmtId="0" xfId="0" applyFont="1" applyFill="1" applyBorder="1" applyAlignment="1" applyProtection="1">
      <alignment horizontal="center" vertical="center"/>
    </xf>
    <xf fontId="27" fillId="36" borderId="10" numFmtId="164" xfId="0" applyNumberFormat="1" applyFont="1" applyFill="1" applyBorder="1" applyAlignment="1" applyProtection="1">
      <alignment horizontal="right" vertical="center"/>
    </xf>
    <xf fontId="27" fillId="36" borderId="10" numFmtId="0" xfId="0" applyFont="1" applyFill="1" applyBorder="1" applyAlignment="1" applyProtection="1">
      <alignment horizontal="right" vertical="center"/>
    </xf>
    <xf fontId="27" fillId="36" borderId="10" numFmtId="166" xfId="0" applyNumberFormat="1" applyFont="1" applyFill="1" applyBorder="1" applyAlignment="1" applyProtection="1">
      <alignment horizontal="right" vertical="center"/>
    </xf>
    <xf fontId="21" fillId="0" borderId="10" numFmtId="0" xfId="0" applyFont="1" applyBorder="1" applyAlignment="1" applyProtection="1">
      <alignment horizontal="left" vertical="center" wrapText="1"/>
    </xf>
    <xf fontId="27" fillId="0" borderId="10" numFmtId="167" xfId="0" applyNumberFormat="1" applyFont="1" applyBorder="1" applyAlignment="1" applyProtection="1">
      <alignment horizontal="right" vertical="center"/>
    </xf>
    <xf fontId="28" fillId="0" borderId="0" numFmtId="0" xfId="0" applyFont="1" applyAlignment="1">
      <alignment vertical="center"/>
    </xf>
    <xf fontId="27" fillId="0" borderId="10" numFmtId="0" xfId="0" applyFont="1" applyBorder="1" applyAlignment="1" applyProtection="1">
      <alignment horizontal="center" vertical="center"/>
    </xf>
    <xf fontId="27" fillId="0" borderId="10" numFmtId="0" xfId="0" applyFont="1" applyBorder="1" applyAlignment="1" applyProtection="1">
      <alignment horizontal="left" vertical="center" wrapText="1"/>
    </xf>
    <xf fontId="21" fillId="35" borderId="10" numFmtId="164" xfId="0" applyNumberFormat="1" applyFont="1" applyFill="1" applyBorder="1" applyAlignment="1">
      <alignment horizontal="right" vertical="center"/>
    </xf>
    <xf fontId="27" fillId="35" borderId="10" numFmtId="165" xfId="0" applyNumberFormat="1" applyFont="1" applyFill="1" applyBorder="1" applyAlignment="1" applyProtection="1">
      <alignment horizontal="right" vertical="center"/>
    </xf>
    <xf fontId="21" fillId="35" borderId="10" numFmtId="166" xfId="0" applyNumberFormat="1" applyFont="1" applyFill="1" applyBorder="1" applyAlignment="1">
      <alignment horizontal="right" vertical="center"/>
    </xf>
    <xf fontId="21" fillId="35" borderId="10" numFmtId="165" xfId="0" applyNumberFormat="1" applyFont="1" applyFill="1" applyBorder="1" applyAlignment="1">
      <alignment horizontal="right" vertical="center"/>
    </xf>
    <xf fontId="21" fillId="36" borderId="10" numFmtId="164" xfId="0" applyNumberFormat="1" applyFont="1" applyFill="1" applyBorder="1" applyAlignment="1">
      <alignment horizontal="right" vertical="center"/>
    </xf>
    <xf fontId="27" fillId="36" borderId="10" numFmtId="165" xfId="0" applyNumberFormat="1" applyFont="1" applyFill="1" applyBorder="1" applyAlignment="1" applyProtection="1">
      <alignment horizontal="right" vertical="center"/>
    </xf>
    <xf fontId="21" fillId="36" borderId="10" numFmtId="166" xfId="0" applyNumberFormat="1" applyFont="1" applyFill="1" applyBorder="1" applyAlignment="1">
      <alignment horizontal="right" vertical="center"/>
    </xf>
    <xf fontId="21" fillId="36" borderId="10" numFmtId="165" xfId="0" applyNumberFormat="1" applyFont="1" applyFill="1" applyBorder="1" applyAlignment="1">
      <alignment horizontal="right" vertical="center"/>
    </xf>
    <xf fontId="21" fillId="36" borderId="10" numFmtId="168" xfId="0" applyNumberFormat="1" applyFont="1" applyFill="1" applyBorder="1" applyAlignment="1">
      <alignment horizontal="right" vertical="center"/>
    </xf>
    <xf fontId="27" fillId="35" borderId="10" numFmtId="167" xfId="0" applyNumberFormat="1" applyFont="1" applyFill="1" applyBorder="1" applyAlignment="1" applyProtection="1">
      <alignment horizontal="right" vertical="center"/>
    </xf>
    <xf fontId="27" fillId="36" borderId="10" numFmtId="167" xfId="0" applyNumberFormat="1" applyFont="1" applyFill="1" applyBorder="1" applyAlignment="1" applyProtection="1">
      <alignment horizontal="right" vertical="center"/>
    </xf>
    <xf fontId="29" fillId="0" borderId="0" numFmtId="0" xfId="0" applyFont="1" applyAlignment="1">
      <alignment vertical="center"/>
    </xf>
    <xf fontId="30" fillId="0" borderId="0" numFmtId="0" xfId="0" applyFont="1" applyAlignment="1">
      <alignment horizontal="center" vertical="center" wrapText="1"/>
    </xf>
    <xf fontId="19" fillId="0" borderId="12" numFmtId="0" xfId="0" applyFont="1" applyBorder="1" applyAlignment="1">
      <alignment horizontal="center" vertical="center" wrapText="1"/>
    </xf>
    <xf fontId="19" fillId="0" borderId="10" numFmtId="0" xfId="0" applyFont="1" applyBorder="1" applyAlignment="1">
      <alignment horizontal="center" vertical="center" wrapText="1"/>
    </xf>
    <xf fontId="29" fillId="0" borderId="0" numFmtId="0" xfId="0" applyFont="1" applyAlignment="1">
      <alignment horizontal="center" vertical="center"/>
    </xf>
    <xf fontId="31" fillId="0" borderId="10" numFmtId="0" xfId="0" applyFont="1" applyBorder="1" applyAlignment="1">
      <alignment horizontal="center" vertical="center" wrapText="1"/>
    </xf>
    <xf fontId="19" fillId="0" borderId="10" numFmtId="0" xfId="0" applyFont="1" applyBorder="1" applyAlignment="1">
      <alignment horizontal="right" vertical="center" wrapText="1"/>
    </xf>
    <xf fontId="32" fillId="0" borderId="0" numFmtId="0" xfId="0" applyFont="1" applyAlignment="1">
      <alignment horizontal="center" vertical="center" wrapText="1"/>
    </xf>
    <xf fontId="19" fillId="0" borderId="0" numFmtId="0" xfId="0" applyFont="1" applyAlignment="1">
      <alignment vertical="center"/>
    </xf>
    <xf fontId="19" fillId="0" borderId="0" numFmtId="0" xfId="0" applyFont="1" applyAlignment="1">
      <alignment horizontal="center" vertical="center"/>
    </xf>
    <xf fontId="19" fillId="0" borderId="0" numFmtId="164" xfId="0" applyNumberFormat="1" applyFont="1" applyAlignment="1">
      <alignment vertical="center"/>
    </xf>
    <xf fontId="33" fillId="0" borderId="0" numFmtId="0" xfId="0" applyFont="1" applyAlignment="1">
      <alignment horizontal="center" vertical="center"/>
    </xf>
    <xf fontId="33" fillId="0" borderId="0" numFmtId="164" xfId="0" applyNumberFormat="1" applyFont="1" applyAlignment="1">
      <alignment horizontal="center" vertical="center"/>
    </xf>
    <xf fontId="19" fillId="0" borderId="0" numFmtId="164" xfId="0" applyNumberFormat="1" applyFont="1" applyAlignment="1">
      <alignment horizontal="center" vertical="center"/>
    </xf>
    <xf fontId="34" fillId="0" borderId="10" numFmtId="0" xfId="0" applyFont="1" applyBorder="1" applyAlignment="1">
      <alignment horizontal="center" vertical="center" wrapText="1"/>
    </xf>
    <xf fontId="35" fillId="0" borderId="10" numFmtId="164" xfId="0" applyNumberFormat="1" applyFont="1" applyBorder="1" applyAlignment="1">
      <alignment horizontal="center" vertical="center" wrapText="1"/>
    </xf>
    <xf fontId="34" fillId="0" borderId="10" numFmtId="164" xfId="0" applyNumberFormat="1" applyFont="1" applyBorder="1" applyAlignment="1">
      <alignment horizontal="center" vertical="center" wrapText="1"/>
    </xf>
    <xf fontId="36" fillId="0" borderId="13" numFmtId="0" xfId="0" applyFont="1" applyBorder="1" applyAlignment="1">
      <alignment horizontal="center" vertical="center"/>
    </xf>
    <xf fontId="36" fillId="0" borderId="14" numFmtId="0" xfId="0" applyFont="1" applyBorder="1" applyAlignment="1">
      <alignment horizontal="center" vertical="center"/>
    </xf>
    <xf fontId="36" fillId="0" borderId="15" numFmtId="0" xfId="0" applyFont="1" applyBorder="1" applyAlignment="1">
      <alignment horizontal="center" vertical="center"/>
    </xf>
    <xf fontId="36" fillId="0" borderId="10" numFmtId="0" xfId="0" applyFont="1" applyBorder="1" applyAlignment="1">
      <alignment horizontal="center" vertical="center"/>
    </xf>
    <xf fontId="36" fillId="0" borderId="10" numFmtId="166" xfId="0" applyNumberFormat="1" applyFont="1" applyBorder="1" applyAlignment="1">
      <alignment horizontal="right" vertical="center"/>
    </xf>
    <xf fontId="36" fillId="0" borderId="10" numFmtId="164" xfId="0" applyNumberFormat="1" applyFont="1" applyBorder="1" applyAlignment="1">
      <alignment horizontal="right" vertical="center"/>
    </xf>
    <xf fontId="36" fillId="34" borderId="10" numFmtId="164" xfId="0" applyNumberFormat="1" applyFont="1" applyFill="1" applyBorder="1" applyAlignment="1">
      <alignment horizontal="right" vertical="center"/>
    </xf>
    <xf fontId="37" fillId="0" borderId="10" numFmtId="0" xfId="0" applyFont="1" applyBorder="1" applyAlignment="1">
      <alignment horizontal="center" vertical="center"/>
    </xf>
    <xf fontId="36" fillId="0" borderId="9" numFmtId="0" xfId="0" applyFont="1" applyBorder="1" applyAlignment="1">
      <alignment horizontal="center" vertical="center"/>
    </xf>
    <xf fontId="36" fillId="0" borderId="11" numFmtId="0" xfId="0" applyFont="1" applyBorder="1" applyAlignment="1">
      <alignment horizontal="center" vertical="center"/>
    </xf>
    <xf fontId="36" fillId="0" borderId="12" numFmtId="0" xfId="0" applyFont="1" applyBorder="1" applyAlignment="1">
      <alignment horizontal="center" vertical="center"/>
    </xf>
    <xf fontId="21" fillId="0" borderId="0" numFmtId="164" xfId="0" applyNumberFormat="1" applyFont="1" applyAlignment="1">
      <alignment horizontal="center" vertical="center"/>
    </xf>
    <xf fontId="21" fillId="0" borderId="0" numFmtId="166" xfId="0" applyNumberFormat="1" applyFont="1" applyAlignment="1">
      <alignment horizontal="center" vertical="center"/>
    </xf>
    <xf fontId="21" fillId="0" borderId="0" numFmtId="169" xfId="0" applyNumberFormat="1" applyFont="1" applyAlignment="1">
      <alignment horizontal="center" vertical="center"/>
    </xf>
    <xf fontId="21" fillId="0" borderId="0" numFmtId="10" xfId="0" applyNumberFormat="1" applyFont="1" applyAlignment="1">
      <alignment vertical="center"/>
    </xf>
    <xf fontId="23" fillId="0" borderId="0" numFmtId="164" xfId="0" applyNumberFormat="1" applyFont="1" applyAlignment="1">
      <alignment horizontal="right" vertical="center"/>
    </xf>
    <xf fontId="21" fillId="0" borderId="0" numFmtId="167" xfId="0" applyNumberFormat="1" applyFont="1" applyAlignment="1">
      <alignment vertical="center"/>
    </xf>
    <xf fontId="21" fillId="0" borderId="0" numFmtId="166" xfId="0" applyNumberFormat="1" applyFont="1" applyAlignment="1">
      <alignment vertical="center"/>
    </xf>
    <xf fontId="21" fillId="0" borderId="0" numFmtId="169" xfId="0" applyNumberFormat="1" applyFont="1" applyAlignment="1">
      <alignment vertical="center"/>
    </xf>
    <xf fontId="0" fillId="0" borderId="0" numFmtId="166" xfId="0" applyNumberFormat="1" applyAlignment="1">
      <alignment vertical="center"/>
    </xf>
    <xf fontId="0" fillId="0" borderId="0" numFmtId="164" xfId="0" applyNumberFormat="1" applyAlignment="1">
      <alignment vertical="center"/>
    </xf>
    <xf fontId="0" fillId="0" borderId="0" numFmtId="10" xfId="0" applyNumberFormat="1" applyAlignment="1">
      <alignment vertical="center"/>
    </xf>
    <xf fontId="14" fillId="0" borderId="0" numFmtId="164" xfId="0" applyNumberFormat="1" applyFont="1" applyAlignment="1">
      <alignment horizontal="right" vertical="center"/>
    </xf>
    <xf fontId="22" fillId="0" borderId="0" numFmtId="166" xfId="0" applyNumberFormat="1" applyFont="1" applyAlignment="1" applyProtection="1">
      <alignment horizontal="center" vertical="center"/>
      <protection locked="0"/>
    </xf>
    <xf fontId="22" fillId="0" borderId="0" numFmtId="169" xfId="0" applyNumberFormat="1" applyFont="1" applyAlignment="1" applyProtection="1">
      <alignment horizontal="center" vertical="center"/>
      <protection locked="0"/>
    </xf>
    <xf fontId="22" fillId="0" borderId="0" numFmtId="10" xfId="0" applyNumberFormat="1" applyFont="1" applyAlignment="1" applyProtection="1">
      <alignment horizontal="center" vertical="center"/>
      <protection locked="0"/>
    </xf>
    <xf fontId="22" fillId="0" borderId="0" numFmtId="164" xfId="0" applyNumberFormat="1" applyFont="1" applyAlignment="1" applyProtection="1">
      <alignment horizontal="right" vertical="center"/>
      <protection locked="0"/>
    </xf>
    <xf fontId="21" fillId="0" borderId="0" numFmtId="164" xfId="0" applyNumberFormat="1" applyFont="1" applyAlignment="1">
      <alignment horizontal="right" vertical="center"/>
    </xf>
    <xf fontId="23" fillId="0" borderId="0" numFmtId="0" xfId="0" applyFont="1" applyAlignment="1">
      <alignment horizontal="center" vertical="center"/>
    </xf>
    <xf fontId="21" fillId="0" borderId="0" numFmtId="10" xfId="0" applyNumberFormat="1" applyFont="1" applyAlignment="1">
      <alignment horizontal="right" vertical="center"/>
    </xf>
    <xf fontId="25" fillId="0" borderId="9" numFmtId="0" xfId="0" applyFont="1" applyBorder="1" applyAlignment="1" applyProtection="1">
      <alignment horizontal="center" vertical="center" wrapText="1"/>
    </xf>
    <xf fontId="25" fillId="0" borderId="10" numFmtId="164" xfId="50" applyNumberFormat="1" applyFont="1" applyBorder="1" applyAlignment="1">
      <alignment horizontal="center" vertical="center" wrapText="1"/>
    </xf>
    <xf fontId="25" fillId="0" borderId="10" numFmtId="166" xfId="50" applyNumberFormat="1" applyFont="1" applyBorder="1" applyAlignment="1">
      <alignment horizontal="center" vertical="center" wrapText="1"/>
    </xf>
    <xf fontId="25" fillId="0" borderId="10" numFmtId="169" xfId="50" applyNumberFormat="1" applyFont="1" applyBorder="1" applyAlignment="1">
      <alignment horizontal="center" vertical="center" wrapText="1"/>
    </xf>
    <xf fontId="25" fillId="0" borderId="10" numFmtId="166" xfId="0" applyNumberFormat="1" applyFont="1" applyBorder="1" applyAlignment="1">
      <alignment horizontal="center" vertical="center" wrapText="1"/>
    </xf>
    <xf fontId="25" fillId="0" borderId="10" numFmtId="10" xfId="0" applyNumberFormat="1" applyFont="1" applyBorder="1" applyAlignment="1">
      <alignment horizontal="center" vertical="center" wrapText="1"/>
    </xf>
    <xf fontId="24" fillId="0" borderId="10" numFmtId="10" xfId="0" applyNumberFormat="1" applyFont="1" applyBorder="1" applyAlignment="1">
      <alignment horizontal="center" vertical="center" wrapText="1"/>
    </xf>
    <xf fontId="25" fillId="0" borderId="10" numFmtId="0" xfId="0" applyFont="1" applyBorder="1" applyAlignment="1" applyProtection="1">
      <alignment horizontal="center" vertical="center" wrapText="1"/>
    </xf>
    <xf fontId="24" fillId="0" borderId="0" numFmtId="164" xfId="0" applyNumberFormat="1" applyFont="1" applyAlignment="1">
      <alignment horizontal="center" vertical="center" wrapText="1"/>
    </xf>
    <xf fontId="25" fillId="0" borderId="11" numFmtId="0" xfId="0" applyFont="1" applyBorder="1" applyAlignment="1" applyProtection="1">
      <alignment horizontal="center" vertical="center" wrapText="1"/>
    </xf>
    <xf fontId="25" fillId="0" borderId="9" numFmtId="0" xfId="0" applyFont="1" applyBorder="1" applyAlignment="1">
      <alignment horizontal="center" vertical="center" wrapText="1"/>
    </xf>
    <xf fontId="25" fillId="0" borderId="10" numFmtId="164" xfId="0" applyNumberFormat="1" applyFont="1" applyBorder="1" applyAlignment="1">
      <alignment vertical="center" wrapText="1"/>
    </xf>
    <xf fontId="25" fillId="0" borderId="12" numFmtId="0" xfId="0" applyFont="1" applyBorder="1" applyAlignment="1" applyProtection="1">
      <alignment horizontal="center" vertical="center" wrapText="1"/>
    </xf>
    <xf fontId="25" fillId="0" borderId="12" numFmtId="0" xfId="0" applyFont="1" applyBorder="1" applyAlignment="1">
      <alignment horizontal="center" vertical="center" wrapText="1"/>
    </xf>
    <xf fontId="25" fillId="0" borderId="10" numFmtId="169" xfId="0" applyNumberFormat="1" applyFont="1" applyBorder="1" applyAlignment="1">
      <alignment vertical="center" wrapText="1"/>
    </xf>
    <xf fontId="24" fillId="0" borderId="10" numFmtId="164" xfId="0" applyNumberFormat="1" applyFont="1" applyBorder="1" applyAlignment="1">
      <alignment vertical="center" wrapText="1"/>
    </xf>
    <xf fontId="23" fillId="0" borderId="13" numFmtId="164" xfId="0" applyNumberFormat="1" applyFont="1" applyBorder="1" applyAlignment="1" applyProtection="1">
      <alignment horizontal="center" vertical="center" wrapText="1"/>
    </xf>
    <xf fontId="23" fillId="0" borderId="13" numFmtId="166" xfId="0" applyNumberFormat="1" applyFont="1" applyBorder="1" applyAlignment="1" applyProtection="1">
      <alignment horizontal="center" vertical="center" wrapText="1"/>
    </xf>
    <xf fontId="23" fillId="0" borderId="13" numFmtId="169" xfId="0" applyNumberFormat="1" applyFont="1" applyBorder="1" applyAlignment="1" applyProtection="1">
      <alignment horizontal="center" vertical="center" wrapText="1"/>
    </xf>
    <xf fontId="23" fillId="0" borderId="10" numFmtId="10" xfId="0" applyNumberFormat="1" applyFont="1" applyBorder="1" applyAlignment="1" applyProtection="1">
      <alignment horizontal="center" vertical="center" wrapText="1"/>
    </xf>
    <xf fontId="23" fillId="0" borderId="0" numFmtId="164" xfId="0" applyNumberFormat="1" applyFont="1" applyAlignment="1" applyProtection="1">
      <alignment horizontal="center" vertical="center" wrapText="1"/>
    </xf>
    <xf fontId="27" fillId="33" borderId="10" numFmtId="0" xfId="0" applyFont="1" applyFill="1" applyBorder="1" applyAlignment="1" applyProtection="1">
      <alignment vertical="center"/>
    </xf>
    <xf fontId="27" fillId="33" borderId="10" numFmtId="10" xfId="0" applyNumberFormat="1" applyFont="1" applyFill="1" applyBorder="1" applyAlignment="1" applyProtection="1">
      <alignment horizontal="right" vertical="center"/>
    </xf>
    <xf fontId="21" fillId="33" borderId="0" numFmtId="164" xfId="0" applyNumberFormat="1" applyFont="1" applyFill="1" applyAlignment="1">
      <alignment vertical="center"/>
    </xf>
    <xf fontId="21" fillId="0" borderId="10" numFmtId="169" xfId="0" applyNumberFormat="1" applyFont="1" applyBorder="1" applyAlignment="1">
      <alignment horizontal="right" vertical="center"/>
    </xf>
    <xf fontId="25" fillId="0" borderId="10" numFmtId="164" xfId="0" applyNumberFormat="1" applyFont="1" applyBorder="1" applyAlignment="1" applyProtection="1">
      <alignment horizontal="right" vertical="center"/>
    </xf>
    <xf fontId="27" fillId="34" borderId="10" numFmtId="0" xfId="0" applyFont="1" applyFill="1" applyBorder="1" applyAlignment="1" applyProtection="1">
      <alignment vertical="center"/>
    </xf>
    <xf fontId="27" fillId="34" borderId="10" numFmtId="164" xfId="0" applyNumberFormat="1" applyFont="1" applyFill="1" applyBorder="1" applyAlignment="1" applyProtection="1">
      <alignment horizontal="right" vertical="center"/>
    </xf>
    <xf fontId="27" fillId="34" borderId="10" numFmtId="164" xfId="0" applyNumberFormat="1" applyFont="1" applyFill="1" applyBorder="1" applyAlignment="1" applyProtection="1">
      <alignment vertical="center"/>
    </xf>
    <xf fontId="27" fillId="34" borderId="10" numFmtId="165" xfId="0" applyNumberFormat="1" applyFont="1" applyFill="1" applyBorder="1" applyAlignment="1" applyProtection="1">
      <alignment horizontal="right" vertical="center"/>
    </xf>
    <xf fontId="27" fillId="34" borderId="10" numFmtId="166" xfId="0" applyNumberFormat="1" applyFont="1" applyFill="1" applyBorder="1" applyAlignment="1" applyProtection="1">
      <alignment horizontal="right" vertical="center"/>
    </xf>
    <xf fontId="27" fillId="34" borderId="10" numFmtId="169" xfId="0" applyNumberFormat="1" applyFont="1" applyFill="1" applyBorder="1" applyAlignment="1" applyProtection="1">
      <alignment horizontal="right" vertical="center"/>
    </xf>
    <xf fontId="27" fillId="34" borderId="10" numFmtId="0" xfId="0" applyFont="1" applyFill="1" applyBorder="1" applyAlignment="1" applyProtection="1">
      <alignment horizontal="right" vertical="center"/>
    </xf>
    <xf fontId="27" fillId="34" borderId="10" numFmtId="10" xfId="0" applyNumberFormat="1" applyFont="1" applyFill="1" applyBorder="1" applyAlignment="1" applyProtection="1">
      <alignment horizontal="right" vertical="center"/>
    </xf>
    <xf fontId="25" fillId="34" borderId="10" numFmtId="164" xfId="0" applyNumberFormat="1" applyFont="1" applyFill="1" applyBorder="1" applyAlignment="1" applyProtection="1">
      <alignment horizontal="right" vertical="center"/>
    </xf>
    <xf fontId="21" fillId="34" borderId="10" numFmtId="167" xfId="0" applyNumberFormat="1" applyFont="1" applyFill="1" applyBorder="1" applyAlignment="1">
      <alignment vertical="center"/>
    </xf>
    <xf fontId="21" fillId="34" borderId="0" numFmtId="164" xfId="0" applyNumberFormat="1" applyFont="1" applyFill="1" applyAlignment="1">
      <alignment vertical="center"/>
    </xf>
    <xf fontId="27" fillId="0" borderId="10" numFmtId="10" xfId="0" applyNumberFormat="1" applyFont="1" applyBorder="1" applyAlignment="1" applyProtection="1">
      <alignment horizontal="right" vertical="center"/>
    </xf>
    <xf fontId="27" fillId="35" borderId="10" numFmtId="10" xfId="0" applyNumberFormat="1" applyFont="1" applyFill="1" applyBorder="1" applyAlignment="1" applyProtection="1">
      <alignment horizontal="right" vertical="center"/>
    </xf>
    <xf fontId="25" fillId="35" borderId="10" numFmtId="164" xfId="0" applyNumberFormat="1" applyFont="1" applyFill="1" applyBorder="1" applyAlignment="1" applyProtection="1">
      <alignment horizontal="right" vertical="center"/>
    </xf>
    <xf fontId="21" fillId="35" borderId="0" numFmtId="164" xfId="0" applyNumberFormat="1" applyFont="1" applyFill="1" applyAlignment="1">
      <alignment vertical="center"/>
    </xf>
    <xf fontId="27" fillId="36" borderId="10" numFmtId="10" xfId="0" applyNumberFormat="1" applyFont="1" applyFill="1" applyBorder="1" applyAlignment="1" applyProtection="1">
      <alignment horizontal="right" vertical="center"/>
    </xf>
    <xf fontId="25" fillId="36" borderId="10" numFmtId="164" xfId="0" applyNumberFormat="1" applyFont="1" applyFill="1" applyBorder="1" applyAlignment="1" applyProtection="1">
      <alignment horizontal="right" vertical="center"/>
    </xf>
    <xf fontId="21" fillId="36" borderId="0" numFmtId="164" xfId="0" applyNumberFormat="1" applyFont="1" applyFill="1" applyAlignment="1">
      <alignment vertical="center"/>
    </xf>
    <xf fontId="27" fillId="0" borderId="10" numFmtId="169" xfId="0" applyNumberFormat="1" applyFont="1" applyBorder="1" applyAlignment="1" applyProtection="1">
      <alignment horizontal="right" vertical="center"/>
    </xf>
    <xf fontId="21" fillId="34" borderId="10" numFmtId="164" xfId="0" applyNumberFormat="1" applyFont="1" applyFill="1" applyBorder="1" applyAlignment="1" applyProtection="1">
      <alignment horizontal="right" vertical="center"/>
    </xf>
    <xf fontId="0" fillId="0" borderId="0" numFmtId="0" xfId="0" applyAlignment="1">
      <alignment horizontal="center" vertical="center"/>
    </xf>
    <xf fontId="14" fillId="0" borderId="10" numFmtId="0" xfId="0" applyFont="1" applyBorder="1" applyAlignment="1">
      <alignment vertical="center"/>
    </xf>
    <xf fontId="14" fillId="0" borderId="10" numFmtId="0" xfId="0" applyFont="1" applyBorder="1" applyAlignment="1">
      <alignment horizontal="center" vertical="center"/>
    </xf>
    <xf fontId="0" fillId="0" borderId="10" numFmtId="0" xfId="0" applyBorder="1" applyAlignment="1">
      <alignment vertical="center"/>
    </xf>
    <xf fontId="0" fillId="0" borderId="10" numFmtId="0" xfId="0" applyBorder="1" applyAlignment="1">
      <alignment horizontal="center" vertical="center"/>
    </xf>
    <xf fontId="38" fillId="0" borderId="0" numFmtId="0" xfId="0" applyFont="1" applyAlignment="1">
      <alignment horizontal="center" vertical="center"/>
    </xf>
    <xf fontId="38" fillId="0" borderId="16" numFmtId="0" xfId="0" applyFont="1" applyBorder="1" applyAlignment="1">
      <alignment horizontal="center" vertical="center"/>
    </xf>
    <xf fontId="34" fillId="0" borderId="10" numFmtId="0" xfId="0" applyFont="1" applyBorder="1" applyAlignment="1">
      <alignment horizontal="center" vertical="center"/>
    </xf>
    <xf fontId="39" fillId="0" borderId="10" numFmtId="0" xfId="0" applyFont="1" applyBorder="1" applyAlignment="1">
      <alignment horizontal="center" vertical="center"/>
    </xf>
    <xf fontId="19" fillId="0" borderId="10" numFmtId="0" xfId="0" applyFont="1" applyBorder="1" applyAlignment="1">
      <alignment horizontal="center" vertical="center"/>
    </xf>
    <xf fontId="40" fillId="0" borderId="10" numFmtId="0" xfId="0" applyFont="1" applyBorder="1" applyAlignment="1">
      <alignment horizontal="center" vertical="center"/>
    </xf>
    <xf fontId="41" fillId="0" borderId="0" numFmtId="0" xfId="0" applyFont="1"/>
    <xf fontId="42" fillId="0" borderId="0" numFmtId="0" xfId="0" applyFont="1" applyAlignment="1" applyProtection="1">
      <alignment horizontal="left" vertical="top" wrapText="1"/>
    </xf>
    <xf fontId="43" fillId="0" borderId="0" numFmtId="0" xfId="0" applyFont="1" applyAlignment="1" applyProtection="1">
      <alignment horizontal="center" vertical="center" wrapText="1"/>
    </xf>
    <xf fontId="44" fillId="0" borderId="17" numFmtId="0" xfId="0" applyFont="1" applyBorder="1" applyAlignment="1" applyProtection="1">
      <alignment horizontal="center" vertical="center" wrapText="1"/>
    </xf>
    <xf fontId="44" fillId="0" borderId="18" numFmtId="0" xfId="0" applyFont="1" applyBorder="1" applyAlignment="1" applyProtection="1">
      <alignment horizontal="center" vertical="center" wrapText="1"/>
    </xf>
    <xf fontId="44" fillId="0" borderId="19" numFmtId="0" xfId="0" applyFont="1" applyBorder="1" applyAlignment="1" applyProtection="1">
      <alignment horizontal="center" vertical="center" wrapText="1"/>
    </xf>
    <xf fontId="44" fillId="0" borderId="20" numFmtId="0" xfId="0" applyFont="1" applyBorder="1" applyAlignment="1" applyProtection="1">
      <alignment horizontal="center" vertical="center" wrapText="1"/>
    </xf>
    <xf fontId="45" fillId="0" borderId="17" numFmtId="0" xfId="0" applyFont="1" applyBorder="1" applyAlignment="1" applyProtection="1">
      <alignment horizontal="right" vertical="center" wrapText="1"/>
    </xf>
    <xf fontId="0" fillId="0" borderId="0" numFmtId="9" xfId="0" applyNumberFormat="1" applyAlignment="1">
      <alignment vertical="center"/>
    </xf>
    <xf fontId="19" fillId="0" borderId="0" numFmtId="160" xfId="1" applyNumberFormat="1" applyFont="1" applyAlignment="1" applyProtection="1">
      <alignment vertical="center" wrapText="1"/>
      <protection locked="0"/>
    </xf>
    <xf fontId="19" fillId="0" borderId="0" numFmtId="0" xfId="1" applyFont="1" applyAlignment="1" applyProtection="1">
      <alignment wrapText="1"/>
    </xf>
    <xf fontId="19" fillId="0" borderId="0" numFmtId="160" xfId="1" applyNumberFormat="1" applyFont="1" applyProtection="1"/>
    <xf fontId="19" fillId="0" borderId="0" numFmtId="10" xfId="1" applyNumberFormat="1" applyFont="1" applyProtection="1"/>
    <xf fontId="19" fillId="0" borderId="0" numFmtId="164" xfId="1" applyNumberFormat="1" applyFont="1" applyProtection="1"/>
    <xf fontId="19" fillId="0" borderId="0" numFmtId="166" xfId="1" applyNumberFormat="1" applyFont="1" applyProtection="1"/>
    <xf fontId="46" fillId="0" borderId="0" numFmtId="162" xfId="1" applyNumberFormat="1" applyFont="1" applyAlignment="1" applyProtection="1">
      <alignment horizontal="center" vertical="center" wrapText="1"/>
    </xf>
    <xf fontId="46" fillId="0" borderId="0" numFmtId="0" xfId="1" applyFont="1" applyAlignment="1" applyProtection="1">
      <alignment horizontal="center" vertical="center" wrapText="1"/>
    </xf>
    <xf fontId="46" fillId="0" borderId="0" numFmtId="166" xfId="1" applyNumberFormat="1" applyFont="1" applyAlignment="1" applyProtection="1">
      <alignment vertical="center" wrapText="1"/>
    </xf>
    <xf fontId="46" fillId="0" borderId="0" numFmtId="162" xfId="1" applyNumberFormat="1" applyFont="1" applyAlignment="1" applyProtection="1">
      <alignment vertical="center" wrapText="1"/>
    </xf>
    <xf fontId="47" fillId="0" borderId="10" numFmtId="162" xfId="1" applyNumberFormat="1" applyFont="1" applyBorder="1" applyAlignment="1" applyProtection="1">
      <alignment horizontal="center" vertical="center" wrapText="1"/>
      <protection locked="0"/>
    </xf>
    <xf fontId="47" fillId="0" borderId="10" numFmtId="0" xfId="1" applyFont="1" applyBorder="1" applyAlignment="1" applyProtection="1">
      <alignment horizontal="center" vertical="center" wrapText="1"/>
      <protection locked="0"/>
    </xf>
    <xf fontId="47" fillId="0" borderId="10" numFmtId="160" xfId="1" applyNumberFormat="1" applyFont="1" applyBorder="1" applyAlignment="1" applyProtection="1">
      <alignment horizontal="center" vertical="center" wrapText="1"/>
      <protection locked="0"/>
    </xf>
    <xf fontId="47" fillId="37" borderId="10" numFmtId="164" xfId="1" applyNumberFormat="1" applyFont="1" applyFill="1" applyBorder="1" applyAlignment="1" applyProtection="1">
      <alignment horizontal="center" vertical="center" wrapText="1"/>
    </xf>
    <xf fontId="47" fillId="37" borderId="10" numFmtId="160" xfId="1" applyNumberFormat="1" applyFont="1" applyFill="1" applyBorder="1" applyAlignment="1" applyProtection="1">
      <alignment horizontal="center" vertical="center" wrapText="1"/>
    </xf>
    <xf fontId="47" fillId="37" borderId="10" numFmtId="170" xfId="1" applyNumberFormat="1" applyFont="1" applyFill="1" applyBorder="1" applyAlignment="1" applyProtection="1">
      <alignment horizontal="center" vertical="center" wrapText="1"/>
    </xf>
    <xf fontId="47" fillId="37" borderId="10" numFmtId="9" xfId="1" applyNumberFormat="1" applyFont="1" applyFill="1" applyBorder="1" applyAlignment="1" applyProtection="1">
      <alignment horizontal="center" vertical="center" wrapText="1"/>
    </xf>
    <xf fontId="48" fillId="34" borderId="10" numFmtId="0" xfId="49" applyFont="1" applyFill="1" applyBorder="1" applyAlignment="1">
      <alignment horizontal="right"/>
    </xf>
    <xf fontId="49" fillId="34" borderId="10" numFmtId="0" xfId="0" applyFont="1" applyFill="1" applyBorder="1" applyAlignment="1">
      <alignment horizontal="left" vertical="center" wrapText="1"/>
    </xf>
    <xf fontId="50" fillId="34" borderId="10" numFmtId="160" xfId="1" applyNumberFormat="1" applyFont="1" applyFill="1" applyBorder="1" applyAlignment="1" applyProtection="1">
      <alignment horizontal="center" vertical="center" wrapText="1"/>
      <protection locked="0"/>
    </xf>
    <xf fontId="50" fillId="34" borderId="10" numFmtId="164" xfId="1" applyNumberFormat="1" applyFont="1" applyFill="1" applyBorder="1" applyAlignment="1" applyProtection="1">
      <alignment horizontal="right" vertical="center" wrapText="1"/>
      <protection locked="0"/>
    </xf>
    <xf fontId="50" fillId="34" borderId="10" numFmtId="170" xfId="1" applyNumberFormat="1" applyFont="1" applyFill="1" applyBorder="1" applyAlignment="1" applyProtection="1">
      <alignment horizontal="right" vertical="center" wrapText="1"/>
      <protection locked="0"/>
    </xf>
    <xf fontId="50" fillId="34" borderId="10" numFmtId="9" xfId="1" applyNumberFormat="1" applyFont="1" applyFill="1" applyBorder="1" applyAlignment="1" applyProtection="1">
      <alignment horizontal="right" vertical="center" wrapText="1"/>
      <protection locked="0"/>
    </xf>
    <xf fontId="50" fillId="34" borderId="10" numFmtId="166" xfId="1" applyNumberFormat="1" applyFont="1" applyFill="1" applyBorder="1" applyAlignment="1" applyProtection="1">
      <alignment horizontal="right" vertical="center" wrapText="1"/>
      <protection locked="0"/>
    </xf>
    <xf fontId="51" fillId="0" borderId="10" numFmtId="0" xfId="0" applyFont="1" applyBorder="1" applyAlignment="1">
      <alignment horizontal="center" vertical="center"/>
    </xf>
    <xf fontId="52" fillId="0" borderId="10" numFmtId="0" xfId="0" applyFont="1" applyBorder="1" applyAlignment="1">
      <alignment horizontal="left" indent="1" vertical="center" wrapText="1"/>
    </xf>
    <xf fontId="36" fillId="0" borderId="10" numFmtId="160" xfId="1" applyNumberFormat="1" applyFont="1" applyBorder="1" applyAlignment="1">
      <alignment horizontal="center" vertical="center"/>
    </xf>
    <xf fontId="36" fillId="0" borderId="10" numFmtId="164" xfId="1" applyNumberFormat="1" applyFont="1" applyBorder="1" applyAlignment="1">
      <alignment horizontal="right" vertical="center"/>
    </xf>
    <xf fontId="36" fillId="0" borderId="10" numFmtId="170" xfId="1" applyNumberFormat="1" applyFont="1" applyBorder="1" applyAlignment="1" applyProtection="1">
      <alignment horizontal="right" vertical="center" wrapText="1"/>
      <protection locked="0"/>
    </xf>
    <xf fontId="36" fillId="0" borderId="10" numFmtId="164" xfId="1" applyNumberFormat="1" applyFont="1" applyBorder="1" applyAlignment="1" applyProtection="1">
      <alignment horizontal="right" vertical="center" wrapText="1"/>
      <protection locked="0"/>
    </xf>
    <xf fontId="36" fillId="0" borderId="10" numFmtId="9" xfId="1" applyNumberFormat="1" applyFont="1" applyBorder="1" applyAlignment="1" applyProtection="1">
      <alignment horizontal="right" vertical="center" wrapText="1"/>
      <protection locked="0"/>
    </xf>
    <xf fontId="36" fillId="0" borderId="10" numFmtId="166" xfId="1" applyNumberFormat="1" applyFont="1" applyBorder="1" applyAlignment="1" applyProtection="1">
      <alignment horizontal="right" vertical="center" wrapText="1"/>
      <protection locked="0"/>
    </xf>
    <xf fontId="53" fillId="0" borderId="10" numFmtId="0" xfId="0" applyFont="1" applyBorder="1" applyAlignment="1">
      <alignment horizontal="left" indent="1" vertical="center" wrapText="1"/>
    </xf>
    <xf fontId="54" fillId="0" borderId="10" numFmtId="0" xfId="49" applyFont="1" applyBorder="1" applyAlignment="1">
      <alignment horizontal="center"/>
    </xf>
    <xf fontId="19" fillId="0" borderId="0" numFmtId="160" xfId="1" applyNumberFormat="1" applyFont="1" applyAlignment="1" applyProtection="1">
      <alignment horizontal="center" vertical="center" wrapText="1"/>
      <protection locked="0"/>
    </xf>
    <xf fontId="19" fillId="0" borderId="0" numFmtId="160" xfId="1" applyNumberFormat="1" applyFont="1" applyAlignment="1" applyProtection="1">
      <alignment wrapText="1"/>
    </xf>
    <xf fontId="53" fillId="0" borderId="0" numFmtId="160" xfId="1" applyNumberFormat="1" applyFont="1" applyAlignment="1">
      <alignment vertical="center"/>
    </xf>
    <xf fontId="46" fillId="0" borderId="0" numFmtId="164" xfId="1" applyNumberFormat="1" applyFont="1" applyAlignment="1" applyProtection="1">
      <alignment horizontal="center" vertical="center" wrapText="1"/>
    </xf>
    <xf fontId="53" fillId="0" borderId="0" numFmtId="0" xfId="1" applyFont="1" applyAlignment="1">
      <alignment vertical="center"/>
    </xf>
    <xf fontId="47" fillId="37" borderId="0" numFmtId="160" xfId="1" applyNumberFormat="1" applyFont="1" applyFill="1" applyAlignment="1">
      <alignment horizontal="center" vertical="center"/>
    </xf>
    <xf fontId="36" fillId="0" borderId="0" numFmtId="160" xfId="1" applyNumberFormat="1" applyFont="1" applyProtection="1"/>
    <xf fontId="50" fillId="34" borderId="10" numFmtId="167" xfId="1" applyNumberFormat="1" applyFont="1" applyFill="1" applyBorder="1" applyAlignment="1" applyProtection="1">
      <alignment horizontal="right" vertical="center" wrapText="1"/>
      <protection locked="0"/>
    </xf>
    <xf fontId="36" fillId="0" borderId="10" numFmtId="167" xfId="1" applyNumberFormat="1" applyFont="1" applyBorder="1" applyAlignment="1">
      <alignment horizontal="right" vertical="center"/>
    </xf>
    <xf fontId="36" fillId="0" borderId="0" numFmtId="160" xfId="1" applyNumberFormat="1" applyFont="1" applyAlignment="1">
      <alignment vertical="center"/>
    </xf>
    <xf fontId="50" fillId="0" borderId="0" numFmtId="160" xfId="1" applyNumberFormat="1" applyFont="1" applyAlignment="1" applyProtection="1">
      <alignment horizontal="right"/>
    </xf>
    <xf fontId="19" fillId="0" borderId="0" numFmtId="162" xfId="1" applyNumberFormat="1" applyFont="1" applyProtection="1"/>
    <xf fontId="19" fillId="0" borderId="0" numFmtId="0" xfId="0" applyFont="1"/>
    <xf fontId="19" fillId="0" borderId="0" numFmtId="164" xfId="0" applyNumberFormat="1" applyFont="1"/>
    <xf fontId="55" fillId="37" borderId="0" numFmtId="0" xfId="0" applyFont="1" applyFill="1"/>
    <xf fontId="55" fillId="37" borderId="0" numFmtId="164" xfId="0" applyNumberFormat="1" applyFont="1" applyFill="1"/>
    <xf fontId="56" fillId="37" borderId="0" numFmtId="0" xfId="0" applyFont="1" applyFill="1" applyAlignment="1">
      <alignment horizontal="center" wrapText="1"/>
    </xf>
    <xf fontId="56" fillId="37" borderId="0" numFmtId="164" xfId="0" applyNumberFormat="1" applyFont="1" applyFill="1" applyAlignment="1">
      <alignment horizontal="center" wrapText="1"/>
    </xf>
    <xf fontId="57" fillId="37" borderId="0" numFmtId="0" xfId="0" applyFont="1" applyFill="1" applyAlignment="1">
      <alignment horizontal="center" vertical="center" wrapText="1"/>
    </xf>
    <xf fontId="57" fillId="37" borderId="0" numFmtId="164" xfId="0" applyNumberFormat="1" applyFont="1" applyFill="1" applyAlignment="1">
      <alignment horizontal="center" vertical="center" wrapText="1"/>
    </xf>
    <xf fontId="57" fillId="37" borderId="0" numFmtId="0" xfId="0" applyFont="1" applyFill="1" applyAlignment="1">
      <alignment horizontal="left" vertical="center" wrapText="1"/>
    </xf>
    <xf fontId="57" fillId="37" borderId="0" numFmtId="164" xfId="0" applyNumberFormat="1" applyFont="1" applyFill="1" applyAlignment="1">
      <alignment horizontal="left" vertical="center" wrapText="1"/>
    </xf>
    <xf fontId="58" fillId="37" borderId="10" numFmtId="0" xfId="0" applyFont="1" applyFill="1" applyBorder="1" applyAlignment="1">
      <alignment horizontal="center" vertical="center" wrapText="1"/>
    </xf>
    <xf fontId="58" fillId="37" borderId="10" numFmtId="164" xfId="0" applyNumberFormat="1" applyFont="1" applyFill="1" applyBorder="1" applyAlignment="1">
      <alignment horizontal="center" vertical="center" wrapText="1"/>
    </xf>
    <xf fontId="59" fillId="37" borderId="10" numFmtId="0" xfId="0" applyFont="1" applyFill="1" applyBorder="1" applyAlignment="1">
      <alignment horizontal="center" vertical="center" wrapText="1"/>
    </xf>
    <xf fontId="59" fillId="37" borderId="10" numFmtId="0" xfId="0" applyFont="1" applyFill="1" applyBorder="1" applyAlignment="1">
      <alignment horizontal="left" vertical="center" wrapText="1"/>
    </xf>
    <xf fontId="59" fillId="37" borderId="10" numFmtId="164" xfId="0" applyNumberFormat="1" applyFont="1" applyFill="1" applyBorder="1" applyAlignment="1">
      <alignment horizontal="center" vertical="center" wrapText="1"/>
    </xf>
    <xf fontId="57" fillId="37" borderId="0" numFmtId="0" xfId="0" applyFont="1" applyFill="1" applyAlignment="1">
      <alignment horizontal="center" wrapText="1"/>
    </xf>
    <xf fontId="57" fillId="37" borderId="0" numFmtId="0" xfId="0" applyFont="1" applyFill="1" applyAlignment="1">
      <alignment horizontal="left" wrapText="1"/>
    </xf>
    <xf fontId="57" fillId="37" borderId="0" numFmtId="164" xfId="0" applyNumberFormat="1" applyFont="1" applyFill="1" applyAlignment="1">
      <alignment horizontal="left" wrapText="1"/>
    </xf>
    <xf fontId="21" fillId="37" borderId="10" numFmtId="0" xfId="0" applyFont="1" applyFill="1" applyBorder="1" applyAlignment="1">
      <alignment horizontal="center" vertical="center" wrapText="1"/>
    </xf>
    <xf fontId="21" fillId="37" borderId="10" numFmtId="0" xfId="0" applyFont="1" applyFill="1" applyBorder="1" applyAlignment="1">
      <alignment horizontal="left" vertical="center" wrapText="1"/>
    </xf>
    <xf fontId="21" fillId="37" borderId="10" numFmtId="164" xfId="0" applyNumberFormat="1" applyFont="1" applyFill="1" applyBorder="1" applyAlignment="1">
      <alignment horizontal="center" vertical="center" wrapText="1"/>
    </xf>
    <xf fontId="41" fillId="0" borderId="0" numFmtId="49" xfId="0" applyNumberFormat="1" applyFont="1"/>
    <xf fontId="41" fillId="34" borderId="0" numFmtId="0" xfId="0" applyFont="1" applyFill="1"/>
    <xf fontId="60" fillId="0" borderId="0" numFmtId="0" xfId="0" applyFont="1" applyAlignment="1">
      <alignment horizontal="center"/>
    </xf>
    <xf fontId="61" fillId="34" borderId="0" numFmtId="0" xfId="0" applyFont="1" applyFill="1"/>
    <xf fontId="62" fillId="0" borderId="0" numFmtId="0" xfId="0" applyFont="1" applyAlignment="1">
      <alignment horizontal="center" vertical="center"/>
    </xf>
    <xf fontId="60" fillId="0" borderId="0" numFmtId="0" xfId="0" applyFont="1" applyAlignment="1">
      <alignment horizontal="center" vertical="center"/>
    </xf>
    <xf fontId="63" fillId="0" borderId="0" numFmtId="0" xfId="0" applyFont="1" applyAlignment="1">
      <alignment horizontal="right" vertical="center"/>
    </xf>
    <xf fontId="64" fillId="0" borderId="0" numFmtId="0" xfId="0" applyFont="1" applyAlignment="1">
      <alignment wrapText="1"/>
    </xf>
    <xf fontId="63" fillId="0" borderId="9" numFmtId="0" xfId="0" applyFont="1" applyBorder="1" applyAlignment="1">
      <alignment horizontal="center" vertical="center" wrapText="1"/>
    </xf>
    <xf fontId="34" fillId="0" borderId="9" numFmtId="0" xfId="0" applyFont="1" applyBorder="1" applyAlignment="1">
      <alignment horizontal="center" vertical="center" wrapText="1"/>
    </xf>
    <xf fontId="34" fillId="0" borderId="21" numFmtId="0" xfId="0" applyFont="1" applyBorder="1" applyAlignment="1">
      <alignment horizontal="center" vertical="center" wrapText="1"/>
    </xf>
    <xf fontId="63" fillId="0" borderId="22" numFmtId="0" xfId="0" applyFont="1" applyBorder="1" applyAlignment="1">
      <alignment horizontal="center" vertical="center" wrapText="1"/>
    </xf>
    <xf fontId="65" fillId="0" borderId="0" numFmtId="0" xfId="0" applyFont="1" applyAlignment="1">
      <alignment wrapText="1"/>
    </xf>
    <xf fontId="65" fillId="34" borderId="0" numFmtId="0" xfId="0" applyFont="1" applyFill="1" applyAlignment="1">
      <alignment wrapText="1"/>
    </xf>
    <xf fontId="66" fillId="0" borderId="10" numFmtId="0" xfId="0" applyFont="1" applyBorder="1" applyAlignment="1">
      <alignment horizontal="center" vertical="center"/>
    </xf>
    <xf fontId="63" fillId="0" borderId="10" numFmtId="0" xfId="0" applyFont="1" applyBorder="1" applyAlignment="1">
      <alignment horizontal="center" vertical="center" wrapText="1"/>
    </xf>
    <xf fontId="63" fillId="0" borderId="12" numFmtId="0" xfId="0" applyFont="1" applyBorder="1" applyAlignment="1">
      <alignment horizontal="center" vertical="center" wrapText="1"/>
    </xf>
    <xf fontId="64" fillId="34" borderId="0" numFmtId="0" xfId="0" applyFont="1" applyFill="1" applyAlignment="1">
      <alignment wrapText="1"/>
    </xf>
    <xf fontId="63" fillId="0" borderId="15" numFmtId="0" xfId="0" applyFont="1" applyBorder="1" applyAlignment="1">
      <alignment horizontal="center" vertical="center" wrapText="1"/>
    </xf>
    <xf fontId="63" fillId="0" borderId="10" numFmtId="169" xfId="0" applyNumberFormat="1" applyFont="1" applyBorder="1" applyAlignment="1">
      <alignment vertical="center" wrapText="1"/>
    </xf>
    <xf fontId="64" fillId="0" borderId="0" numFmtId="0" xfId="0" applyFont="1"/>
    <xf fontId="63" fillId="0" borderId="23" numFmtId="0" xfId="0" applyFont="1" applyBorder="1" applyAlignment="1">
      <alignment horizontal="center" vertical="center"/>
    </xf>
    <xf fontId="63" fillId="0" borderId="24" numFmtId="0" xfId="0" applyFont="1" applyBorder="1" applyAlignment="1">
      <alignment horizontal="center" vertical="center"/>
    </xf>
    <xf fontId="63" fillId="0" borderId="25" numFmtId="0" xfId="0" applyFont="1" applyBorder="1" applyAlignment="1">
      <alignment horizontal="center" vertical="center"/>
    </xf>
    <xf fontId="63" fillId="0" borderId="10" numFmtId="169" xfId="0" applyNumberFormat="1" applyFont="1" applyBorder="1" applyAlignment="1">
      <alignment horizontal="center" vertical="center" wrapText="1"/>
    </xf>
    <xf fontId="64" fillId="34" borderId="0" numFmtId="0" xfId="0" applyFont="1" applyFill="1"/>
    <xf fontId="67" fillId="0" borderId="10" numFmtId="0" xfId="0" applyFont="1" applyBorder="1" applyAlignment="1">
      <alignment horizontal="center"/>
    </xf>
    <xf fontId="67" fillId="0" borderId="10" numFmtId="164" xfId="0" applyNumberFormat="1" applyFont="1" applyBorder="1"/>
    <xf fontId="67" fillId="0" borderId="10" numFmtId="49" xfId="0" applyNumberFormat="1" applyFont="1" applyBorder="1" applyAlignment="1">
      <alignment horizontal="center"/>
    </xf>
    <xf fontId="68" fillId="0" borderId="10" numFmtId="0" xfId="0" applyFont="1" applyBorder="1" applyAlignment="1">
      <alignment horizontal="center"/>
    </xf>
    <xf fontId="67" fillId="0" borderId="10" numFmtId="0" xfId="0" applyFont="1" applyBorder="1" applyAlignment="1">
      <alignment horizontal="center" vertical="center"/>
    </xf>
    <xf fontId="67" fillId="0" borderId="10" numFmtId="169" xfId="0" applyNumberFormat="1" applyFont="1" applyBorder="1" applyAlignment="1">
      <alignment horizontal="center" vertical="center"/>
    </xf>
    <xf fontId="67" fillId="0" borderId="0" numFmtId="0" xfId="0" applyFont="1" applyAlignment="1">
      <alignment horizontal="left" vertical="center" wrapText="1"/>
    </xf>
    <xf fontId="69" fillId="0" borderId="0" numFmtId="0" xfId="0" applyFont="1" applyAlignment="1">
      <alignment horizontal="center" vertical="center" wrapText="1"/>
    </xf>
    <xf fontId="69" fillId="0" borderId="0" numFmtId="0" xfId="0" applyFont="1" applyAlignment="1">
      <alignment vertical="center" wrapText="1"/>
    </xf>
    <xf fontId="70" fillId="0" borderId="10" numFmtId="0" xfId="0" applyFont="1" applyBorder="1" applyAlignment="1">
      <alignment horizontal="center" vertical="center"/>
    </xf>
    <xf fontId="70" fillId="0" borderId="10" numFmtId="0" xfId="0" applyFont="1" applyBorder="1" applyAlignment="1">
      <alignment horizontal="center" vertical="center" wrapText="1"/>
    </xf>
    <xf fontId="71" fillId="0" borderId="10" numFmtId="0" xfId="0" applyFont="1" applyBorder="1" applyAlignment="1">
      <alignment horizontal="center" vertical="center"/>
    </xf>
    <xf fontId="71" fillId="0" borderId="10" numFmtId="0" xfId="0" applyFont="1" applyBorder="1" applyAlignment="1">
      <alignment horizontal="center" vertical="center" wrapText="1"/>
    </xf>
    <xf fontId="22" fillId="0" borderId="0" numFmtId="0" xfId="0" applyFont="1" applyAlignment="1" applyProtection="1">
      <alignment horizontal="left" vertical="center"/>
      <protection locked="0"/>
    </xf>
    <xf fontId="22" fillId="0" borderId="0" numFmtId="164" xfId="0" applyNumberFormat="1" applyFont="1" applyAlignment="1" applyProtection="1">
      <alignment horizontal="left" vertical="center"/>
      <protection locked="0"/>
    </xf>
    <xf fontId="22" fillId="0" borderId="0" numFmtId="169" xfId="0" applyNumberFormat="1" applyFont="1" applyAlignment="1" applyProtection="1">
      <alignment horizontal="left" vertical="center"/>
      <protection locked="0"/>
    </xf>
    <xf fontId="22" fillId="0" borderId="0" numFmtId="166" xfId="0" applyNumberFormat="1" applyFont="1" applyAlignment="1" applyProtection="1">
      <alignment horizontal="left" vertical="center"/>
      <protection locked="0"/>
    </xf>
    <xf fontId="25" fillId="0" borderId="21" numFmtId="164" xfId="50" applyNumberFormat="1" applyFont="1" applyBorder="1" applyAlignment="1">
      <alignment horizontal="center" vertical="center" wrapText="1"/>
    </xf>
    <xf fontId="25" fillId="0" borderId="26" numFmtId="164" xfId="50" applyNumberFormat="1" applyFont="1" applyBorder="1" applyAlignment="1">
      <alignment horizontal="center" vertical="center" wrapText="1"/>
    </xf>
    <xf fontId="14" fillId="0" borderId="0" numFmtId="0" xfId="0" applyFont="1" applyAlignment="1">
      <alignment horizontal="center" vertical="center" wrapText="1"/>
    </xf>
    <xf fontId="25" fillId="34" borderId="10" numFmtId="0" xfId="0" applyFont="1" applyFill="1" applyBorder="1" applyAlignment="1">
      <alignment horizontal="center" vertical="center" wrapText="1"/>
    </xf>
    <xf fontId="25" fillId="34" borderId="10" numFmtId="164" xfId="0" applyNumberFormat="1" applyFont="1" applyFill="1" applyBorder="1" applyAlignment="1">
      <alignment horizontal="center" vertical="center" wrapText="1"/>
    </xf>
    <xf fontId="25" fillId="0" borderId="23" numFmtId="164" xfId="50" applyNumberFormat="1" applyFont="1" applyBorder="1" applyAlignment="1">
      <alignment horizontal="center" vertical="center" wrapText="1"/>
    </xf>
    <xf fontId="25" fillId="0" borderId="24" numFmtId="164" xfId="50" applyNumberFormat="1" applyFont="1" applyBorder="1" applyAlignment="1">
      <alignment horizontal="center" vertical="center" wrapText="1"/>
    </xf>
    <xf fontId="25" fillId="0" borderId="13" numFmtId="0" xfId="0" applyFont="1" applyBorder="1" applyAlignment="1">
      <alignment horizontal="center" vertical="center" wrapText="1"/>
    </xf>
    <xf fontId="25" fillId="0" borderId="15" numFmtId="0" xfId="0" applyFont="1" applyBorder="1" applyAlignment="1">
      <alignment vertical="center" wrapText="1"/>
    </xf>
    <xf fontId="25" fillId="0" borderId="13" numFmtId="164" xfId="0" applyNumberFormat="1" applyFont="1" applyBorder="1" applyAlignment="1">
      <alignment horizontal="center" vertical="center" wrapText="1"/>
    </xf>
    <xf fontId="23" fillId="34" borderId="10" numFmtId="0" xfId="0" applyFont="1" applyFill="1" applyBorder="1" applyAlignment="1" applyProtection="1">
      <alignment horizontal="center" vertical="center" wrapText="1"/>
    </xf>
    <xf fontId="24" fillId="34" borderId="10" numFmtId="164" xfId="0" applyNumberFormat="1" applyFont="1" applyFill="1" applyBorder="1" applyAlignment="1">
      <alignment horizontal="center" vertical="center" wrapText="1"/>
    </xf>
    <xf fontId="25" fillId="34" borderId="10" numFmtId="169" xfId="0" applyNumberFormat="1" applyFont="1" applyFill="1" applyBorder="1" applyAlignment="1">
      <alignment horizontal="center" vertical="center" wrapText="1"/>
    </xf>
    <xf fontId="25" fillId="34" borderId="10" numFmtId="166" xfId="0" applyNumberFormat="1" applyFont="1" applyFill="1" applyBorder="1" applyAlignment="1">
      <alignment horizontal="center" vertical="center" wrapText="1"/>
    </xf>
    <xf fontId="21" fillId="33" borderId="10" numFmtId="167" xfId="0" applyNumberFormat="1" applyFont="1" applyFill="1" applyBorder="1" applyAlignment="1">
      <alignment vertical="center"/>
    </xf>
    <xf fontId="21" fillId="35" borderId="10" numFmtId="167" xfId="0" applyNumberFormat="1" applyFont="1" applyFill="1" applyBorder="1" applyAlignment="1">
      <alignment vertical="center"/>
    </xf>
    <xf fontId="21" fillId="36" borderId="10" numFmtId="167" xfId="0" applyNumberFormat="1" applyFont="1" applyFill="1" applyBorder="1" applyAlignment="1">
      <alignment vertical="center"/>
    </xf>
    <xf fontId="27" fillId="0" borderId="10" numFmtId="169" xfId="0" applyNumberFormat="1" applyFont="1" applyBorder="1" applyAlignment="1" applyProtection="1">
      <alignment horizontal="center" vertical="center"/>
    </xf>
    <xf fontId="28" fillId="0" borderId="0" numFmtId="168" xfId="0" applyNumberFormat="1" applyFont="1" applyAlignment="1">
      <alignment vertical="center"/>
    </xf>
    <xf fontId="28" fillId="0" borderId="0" numFmtId="171" xfId="0" applyNumberFormat="1" applyFont="1" applyAlignment="1">
      <alignment vertical="center"/>
    </xf>
    <xf fontId="28" fillId="0" borderId="0" numFmtId="164" xfId="0" applyNumberFormat="1" applyFont="1" applyAlignment="1">
      <alignment vertical="center"/>
    </xf>
    <xf fontId="72" fillId="0" borderId="0" numFmtId="0" xfId="0" applyFont="1" applyAlignment="1">
      <alignment vertical="center"/>
    </xf>
    <xf fontId="41" fillId="0" borderId="0" numFmtId="3" xfId="0" applyNumberFormat="1" applyFont="1"/>
    <xf fontId="73" fillId="0" borderId="0" numFmtId="0" xfId="0" applyFont="1" applyAlignment="1">
      <alignment horizontal="center" vertical="center" wrapText="1"/>
    </xf>
    <xf fontId="73" fillId="0" borderId="0" numFmtId="0" xfId="0" applyFont="1" applyAlignment="1">
      <alignment vertical="center" wrapText="1"/>
    </xf>
    <xf fontId="41" fillId="0" borderId="0" numFmtId="0" xfId="0" applyFont="1" applyAlignment="1">
      <alignment horizontal="center" vertical="center"/>
    </xf>
    <xf fontId="41" fillId="0" borderId="0" numFmtId="167" xfId="0" applyNumberFormat="1" applyFont="1" applyAlignment="1">
      <alignment horizontal="center" vertical="center"/>
    </xf>
    <xf fontId="64" fillId="0" borderId="0" numFmtId="0" xfId="0" applyFont="1" applyAlignment="1">
      <alignment horizontal="center"/>
    </xf>
    <xf fontId="74" fillId="0" borderId="9" numFmtId="0" xfId="0" applyFont="1" applyBorder="1" applyAlignment="1">
      <alignment horizontal="center" vertical="center" wrapText="1"/>
    </xf>
    <xf fontId="74" fillId="0" borderId="13" numFmtId="0" xfId="0" applyFont="1" applyBorder="1" applyAlignment="1">
      <alignment horizontal="center" vertical="center" wrapText="1"/>
    </xf>
    <xf fontId="74" fillId="0" borderId="14" numFmtId="0" xfId="0" applyFont="1" applyBorder="1" applyAlignment="1">
      <alignment horizontal="center" vertical="center" wrapText="1"/>
    </xf>
    <xf fontId="74" fillId="0" borderId="10" numFmtId="0" xfId="0" applyFont="1" applyBorder="1" applyAlignment="1">
      <alignment horizontal="center" vertical="center" wrapText="1"/>
    </xf>
    <xf fontId="50" fillId="0" borderId="0" numFmtId="0" xfId="0" applyFont="1" applyAlignment="1">
      <alignment horizontal="center" vertical="center" wrapText="1"/>
    </xf>
    <xf fontId="36" fillId="0" borderId="0" numFmtId="167" xfId="0" applyNumberFormat="1" applyFont="1" applyAlignment="1">
      <alignment horizontal="center" vertical="center"/>
    </xf>
    <xf fontId="64" fillId="0" borderId="0" numFmtId="167" xfId="0" applyNumberFormat="1" applyFont="1" applyAlignment="1">
      <alignment horizontal="center" vertical="center"/>
    </xf>
    <xf fontId="74" fillId="0" borderId="0" numFmtId="0" xfId="0" applyFont="1" applyAlignment="1">
      <alignment horizontal="center" vertical="center"/>
    </xf>
    <xf fontId="74" fillId="0" borderId="11" numFmtId="0" xfId="0" applyFont="1" applyBorder="1" applyAlignment="1">
      <alignment horizontal="center" vertical="center" wrapText="1"/>
    </xf>
    <xf fontId="74" fillId="0" borderId="0" numFmtId="0" xfId="0" applyFont="1" applyAlignment="1">
      <alignment horizontal="center" vertical="center" wrapText="1"/>
    </xf>
    <xf fontId="74" fillId="0" borderId="12" numFmtId="0" xfId="0" applyFont="1" applyBorder="1" applyAlignment="1">
      <alignment horizontal="center" vertical="center" wrapText="1"/>
    </xf>
    <xf fontId="74" fillId="0" borderId="10" numFmtId="0" xfId="0" applyFont="1" applyBorder="1" applyAlignment="1">
      <alignment horizontal="center" vertical="center"/>
    </xf>
    <xf fontId="74" fillId="0" borderId="10" numFmtId="0" xfId="0" applyFont="1" applyBorder="1" applyAlignment="1">
      <alignment horizontal="right" vertical="center" wrapText="1"/>
    </xf>
    <xf fontId="74" fillId="0" borderId="10" numFmtId="169" xfId="0" applyNumberFormat="1" applyFont="1" applyBorder="1" applyAlignment="1">
      <alignment horizontal="right" vertical="center" wrapText="1"/>
    </xf>
    <xf fontId="74" fillId="0" borderId="0" numFmtId="0" xfId="0" applyFont="1" applyAlignment="1">
      <alignment horizontal="right" vertical="center" wrapText="1"/>
    </xf>
    <xf fontId="51" fillId="0" borderId="0" numFmtId="0" xfId="0" applyFont="1" applyAlignment="1">
      <alignment vertical="center"/>
    </xf>
    <xf fontId="51" fillId="35" borderId="10" numFmtId="0" xfId="0" applyFont="1" applyFill="1" applyBorder="1" applyAlignment="1">
      <alignment horizontal="center" vertical="center" wrapText="1"/>
    </xf>
    <xf fontId="51" fillId="35" borderId="10" numFmtId="0" xfId="0" applyFont="1" applyFill="1" applyBorder="1" applyAlignment="1">
      <alignment vertical="center"/>
    </xf>
    <xf fontId="51" fillId="35" borderId="10" numFmtId="168" xfId="0" applyNumberFormat="1" applyFont="1" applyFill="1" applyBorder="1" applyAlignment="1">
      <alignment horizontal="right" vertical="center"/>
    </xf>
    <xf fontId="51" fillId="35" borderId="10" numFmtId="167" xfId="0" applyNumberFormat="1" applyFont="1" applyFill="1" applyBorder="1" applyAlignment="1">
      <alignment horizontal="right" vertical="center"/>
    </xf>
    <xf fontId="51" fillId="35" borderId="10" numFmtId="167" xfId="3" applyNumberFormat="1" applyFont="1" applyFill="1" applyBorder="1" applyAlignment="1">
      <alignment horizontal="right" vertical="center"/>
    </xf>
    <xf fontId="51" fillId="35" borderId="10" numFmtId="169" xfId="0" applyNumberFormat="1" applyFont="1" applyFill="1" applyBorder="1" applyAlignment="1">
      <alignment vertical="center"/>
    </xf>
    <xf fontId="51" fillId="35" borderId="0" numFmtId="0" xfId="0" applyFont="1" applyFill="1" applyAlignment="1">
      <alignment vertical="center"/>
    </xf>
    <xf fontId="51" fillId="36" borderId="10" numFmtId="0" xfId="0" applyFont="1" applyFill="1" applyBorder="1" applyAlignment="1">
      <alignment horizontal="center" vertical="center" wrapText="1"/>
    </xf>
    <xf fontId="51" fillId="36" borderId="10" numFmtId="0" xfId="0" applyFont="1" applyFill="1" applyBorder="1" applyAlignment="1">
      <alignment vertical="center"/>
    </xf>
    <xf fontId="51" fillId="0" borderId="10" numFmtId="0" xfId="0" applyFont="1" applyBorder="1" applyAlignment="1">
      <alignment vertical="center"/>
    </xf>
    <xf fontId="51" fillId="0" borderId="10" numFmtId="168" xfId="0" applyNumberFormat="1" applyFont="1" applyBorder="1" applyAlignment="1">
      <alignment horizontal="right" vertical="center"/>
    </xf>
    <xf fontId="51" fillId="0" borderId="10" numFmtId="167" xfId="0" applyNumberFormat="1" applyFont="1" applyBorder="1" applyAlignment="1">
      <alignment horizontal="right" vertical="center"/>
    </xf>
    <xf fontId="51" fillId="0" borderId="10" numFmtId="169" xfId="0" applyNumberFormat="1" applyFont="1" applyBorder="1" applyAlignment="1">
      <alignment vertical="center"/>
    </xf>
    <xf fontId="51" fillId="0" borderId="10" numFmtId="0" xfId="0" applyFont="1" applyBorder="1" applyAlignment="1">
      <alignment horizontal="center" vertical="center" wrapText="1"/>
    </xf>
    <xf fontId="51" fillId="0" borderId="10" numFmtId="10" xfId="0" applyNumberFormat="1" applyFont="1" applyBorder="1" applyAlignment="1">
      <alignment horizontal="right" vertical="center"/>
    </xf>
    <xf fontId="72" fillId="0" borderId="10" numFmtId="0" xfId="0" applyFont="1" applyBorder="1" applyAlignment="1">
      <alignment vertical="center"/>
    </xf>
    <xf fontId="72" fillId="0" borderId="10" numFmtId="168" xfId="0" applyNumberFormat="1" applyFont="1" applyBorder="1" applyAlignment="1">
      <alignment horizontal="right" vertical="center"/>
    </xf>
    <xf fontId="72" fillId="0" borderId="10" numFmtId="167" xfId="0" applyNumberFormat="1" applyFont="1" applyBorder="1" applyAlignment="1">
      <alignment horizontal="right" vertical="center"/>
    </xf>
    <xf fontId="72" fillId="0" borderId="10" numFmtId="10" xfId="0" applyNumberFormat="1" applyFont="1" applyBorder="1" applyAlignment="1">
      <alignment horizontal="right" vertical="center"/>
    </xf>
    <xf fontId="75" fillId="0" borderId="10" numFmtId="168" xfId="0" applyNumberFormat="1" applyFont="1" applyBorder="1" applyAlignment="1">
      <alignment horizontal="right" vertical="center"/>
    </xf>
    <xf fontId="72" fillId="0" borderId="12" numFmtId="168" xfId="0" applyNumberFormat="1" applyFont="1" applyBorder="1" applyAlignment="1">
      <alignment horizontal="right" vertical="center"/>
    </xf>
    <xf fontId="72" fillId="0" borderId="12" numFmtId="10" xfId="0" applyNumberFormat="1" applyFont="1" applyBorder="1" applyAlignment="1">
      <alignment horizontal="right" vertical="center"/>
    </xf>
    <xf fontId="72" fillId="0" borderId="27" numFmtId="168" xfId="0" applyNumberFormat="1" applyFont="1" applyBorder="1" applyAlignment="1">
      <alignment horizontal="right" vertical="center"/>
    </xf>
    <xf fontId="72" fillId="0" borderId="27" numFmtId="10" xfId="0" applyNumberFormat="1" applyFont="1" applyBorder="1" applyAlignment="1">
      <alignment horizontal="right" vertical="center"/>
    </xf>
    <xf fontId="72" fillId="0" borderId="17" numFmtId="168" xfId="0" applyNumberFormat="1" applyFont="1" applyBorder="1" applyAlignment="1">
      <alignment horizontal="right" vertical="center"/>
    </xf>
    <xf fontId="72" fillId="0" borderId="17" numFmtId="10" xfId="0" applyNumberFormat="1" applyFont="1" applyBorder="1" applyAlignment="1">
      <alignment horizontal="right" vertical="center"/>
    </xf>
    <xf fontId="72" fillId="35" borderId="10" numFmtId="0" xfId="0" applyFont="1" applyFill="1" applyBorder="1" applyAlignment="1">
      <alignment vertical="center"/>
    </xf>
    <xf fontId="72" fillId="35" borderId="10" numFmtId="168" xfId="0" applyNumberFormat="1" applyFont="1" applyFill="1" applyBorder="1" applyAlignment="1">
      <alignment horizontal="right" vertical="center"/>
    </xf>
    <xf fontId="72" fillId="35" borderId="10" numFmtId="167" xfId="0" applyNumberFormat="1" applyFont="1" applyFill="1" applyBorder="1" applyAlignment="1">
      <alignment horizontal="right" vertical="center"/>
    </xf>
    <xf fontId="72" fillId="36" borderId="10" numFmtId="0" xfId="0" applyFont="1" applyFill="1" applyBorder="1" applyAlignment="1">
      <alignment vertical="center"/>
    </xf>
    <xf fontId="72" fillId="0" borderId="17" numFmtId="167" xfId="0" applyNumberFormat="1" applyFont="1" applyBorder="1" applyAlignment="1">
      <alignment horizontal="right" vertical="center"/>
    </xf>
    <xf fontId="76" fillId="0" borderId="10" numFmtId="0" xfId="0" applyFont="1" applyBorder="1" applyAlignment="1">
      <alignment vertical="center"/>
    </xf>
    <xf fontId="72" fillId="36" borderId="10" numFmtId="0" xfId="0" applyFont="1" applyFill="1" applyBorder="1" applyAlignment="1">
      <alignment vertical="center" wrapText="1"/>
    </xf>
    <xf fontId="21" fillId="0" borderId="0" numFmtId="10" xfId="0" applyNumberFormat="1" applyFont="1" applyAlignment="1">
      <alignment horizontal="center" vertical="center"/>
    </xf>
    <xf fontId="23" fillId="0" borderId="0" numFmtId="9" xfId="0" applyNumberFormat="1" applyFont="1" applyAlignment="1">
      <alignment horizontal="right" vertical="center"/>
    </xf>
    <xf fontId="21" fillId="0" borderId="0" numFmtId="9" xfId="0" applyNumberFormat="1" applyFont="1" applyAlignment="1">
      <alignment horizontal="right" vertical="center"/>
    </xf>
    <xf fontId="25" fillId="0" borderId="10" numFmtId="169" xfId="0" applyNumberFormat="1" applyFont="1" applyBorder="1" applyAlignment="1">
      <alignment horizontal="center" vertical="center" wrapText="1"/>
    </xf>
    <xf fontId="21" fillId="33" borderId="10" numFmtId="164" xfId="0" applyNumberFormat="1" applyFont="1" applyFill="1" applyBorder="1" applyAlignment="1">
      <alignment vertical="center"/>
    </xf>
    <xf fontId="27" fillId="35" borderId="10" numFmtId="169" xfId="0" applyNumberFormat="1" applyFont="1" applyFill="1" applyBorder="1" applyAlignment="1" applyProtection="1">
      <alignment horizontal="right" vertical="center"/>
    </xf>
    <xf fontId="21" fillId="35" borderId="10" numFmtId="164" xfId="0" applyNumberFormat="1" applyFont="1" applyFill="1" applyBorder="1" applyAlignment="1">
      <alignment vertical="center"/>
    </xf>
    <xf fontId="27" fillId="36" borderId="10" numFmtId="169" xfId="0" applyNumberFormat="1" applyFont="1" applyFill="1" applyBorder="1" applyAlignment="1" applyProtection="1">
      <alignment horizontal="right" vertical="center"/>
    </xf>
    <xf fontId="21" fillId="36" borderId="10" numFmtId="164" xfId="0" applyNumberFormat="1" applyFont="1" applyFill="1" applyBorder="1" applyAlignment="1">
      <alignment vertical="center"/>
    </xf>
    <xf fontId="0" fillId="0" borderId="0" numFmtId="167" xfId="0" applyNumberFormat="1" applyAlignment="1">
      <alignment vertical="center"/>
    </xf>
    <xf fontId="77" fillId="0" borderId="0" numFmtId="0" xfId="0" applyFont="1"/>
    <xf fontId="77" fillId="0" borderId="10" numFmtId="0" xfId="0" applyFont="1" applyBorder="1" applyAlignment="1">
      <alignment horizontal="center" vertical="center"/>
    </xf>
    <xf fontId="77" fillId="0" borderId="13" numFmtId="0" xfId="0" applyFont="1" applyBorder="1" applyAlignment="1">
      <alignment horizontal="center" vertical="center"/>
    </xf>
    <xf fontId="77" fillId="0" borderId="14" numFmtId="0" xfId="0" applyFont="1" applyBorder="1" applyAlignment="1">
      <alignment horizontal="center" vertical="center"/>
    </xf>
    <xf fontId="77" fillId="0" borderId="15" numFmtId="0" xfId="0" applyFont="1" applyBorder="1" applyAlignment="1">
      <alignment horizontal="center" vertical="center"/>
    </xf>
    <xf fontId="77" fillId="0" borderId="10" numFmtId="0" xfId="0" applyFont="1" applyBorder="1" applyAlignment="1">
      <alignment vertical="center"/>
    </xf>
    <xf fontId="41" fillId="0" borderId="10" numFmtId="0" xfId="0" applyFont="1" applyBorder="1" applyAlignment="1">
      <alignment horizontal="center" vertical="center"/>
    </xf>
    <xf fontId="78" fillId="0" borderId="10" numFmtId="0" xfId="0" applyFont="1" applyBorder="1" applyAlignment="1">
      <alignment horizontal="center" vertical="center"/>
    </xf>
    <xf fontId="0" fillId="0" borderId="0" numFmtId="169" xfId="0" applyNumberFormat="1" applyAlignment="1">
      <alignment vertical="center"/>
    </xf>
    <xf fontId="36" fillId="0" borderId="10" numFmtId="169" xfId="1" applyNumberFormat="1" applyFont="1" applyBorder="1" applyAlignment="1" applyProtection="1">
      <alignment horizontal="right" vertical="center" wrapText="1"/>
      <protection locked="0"/>
    </xf>
    <xf fontId="27" fillId="0" borderId="0" numFmtId="0" xfId="0" applyFont="1" applyAlignment="1">
      <alignment vertical="center" wrapText="1"/>
    </xf>
    <xf fontId="21" fillId="0" borderId="0" numFmtId="0" xfId="0" applyFont="1" applyAlignment="1">
      <alignment horizontal="left" vertical="center"/>
    </xf>
    <xf fontId="79" fillId="0" borderId="0" numFmtId="0" xfId="0" applyFont="1" applyAlignment="1" applyProtection="1">
      <alignment horizontal="center" vertical="center" wrapText="1"/>
      <protection locked="0"/>
    </xf>
    <xf fontId="79" fillId="0" borderId="0" numFmtId="0" xfId="0" applyFont="1" applyAlignment="1" applyProtection="1">
      <alignment horizontal="center" vertical="center"/>
      <protection locked="0"/>
    </xf>
    <xf fontId="79" fillId="0" borderId="0" numFmtId="164" xfId="0" applyNumberFormat="1" applyFont="1" applyAlignment="1" applyProtection="1">
      <alignment horizontal="center" vertical="center"/>
      <protection locked="0"/>
    </xf>
    <xf fontId="27" fillId="0" borderId="0" numFmtId="0" xfId="0" applyFont="1" applyAlignment="1">
      <alignment horizontal="center" vertical="center"/>
    </xf>
    <xf fontId="27" fillId="0" borderId="0" numFmtId="0" xfId="0" applyFont="1" applyAlignment="1">
      <alignment horizontal="center" vertical="center" wrapText="1"/>
    </xf>
    <xf fontId="27" fillId="0" borderId="0" numFmtId="164" xfId="0" applyNumberFormat="1" applyFont="1" applyAlignment="1">
      <alignment horizontal="center" vertical="center"/>
    </xf>
    <xf fontId="27" fillId="0" borderId="0" numFmtId="0" xfId="0" applyFont="1" applyAlignment="1">
      <alignment horizontal="right" vertical="center"/>
    </xf>
    <xf fontId="25" fillId="0" borderId="10" numFmtId="0" xfId="0" applyFont="1" applyBorder="1" applyAlignment="1">
      <alignment horizontal="center" vertical="center"/>
    </xf>
    <xf fontId="25" fillId="0" borderId="10" numFmtId="164" xfId="0" applyNumberFormat="1" applyFont="1" applyBorder="1" applyAlignment="1">
      <alignment horizontal="center" vertical="center"/>
    </xf>
    <xf fontId="25" fillId="0" borderId="10" numFmtId="0" xfId="0" applyFont="1" applyBorder="1" applyAlignment="1">
      <alignment horizontal="left" vertical="center"/>
    </xf>
    <xf fontId="25" fillId="0" borderId="10" numFmtId="164" xfId="0" applyNumberFormat="1" applyFont="1" applyBorder="1" applyAlignment="1">
      <alignment horizontal="left" vertical="center"/>
    </xf>
    <xf fontId="25" fillId="0" borderId="10" numFmtId="0" xfId="0" applyFont="1" applyBorder="1" applyAlignment="1" applyProtection="1">
      <alignment vertical="center" wrapText="1"/>
    </xf>
    <xf fontId="25" fillId="0" borderId="10" numFmtId="0" xfId="0" applyFont="1" applyBorder="1" applyAlignment="1">
      <alignment vertical="center"/>
    </xf>
    <xf fontId="25" fillId="0" borderId="10" numFmtId="164" xfId="0" applyNumberFormat="1" applyFont="1" applyBorder="1" applyAlignment="1">
      <alignment vertical="center"/>
    </xf>
    <xf fontId="27" fillId="0" borderId="10" numFmtId="0" xfId="0" applyFont="1" applyBorder="1" applyAlignment="1">
      <alignment horizontal="center" vertical="center"/>
    </xf>
    <xf fontId="27" fillId="0" borderId="10" numFmtId="164" xfId="0" applyNumberFormat="1" applyFont="1" applyBorder="1" applyAlignment="1">
      <alignment vertical="center"/>
    </xf>
    <xf fontId="27" fillId="0" borderId="10" numFmtId="0" xfId="0" applyFont="1" applyBorder="1" applyAlignment="1">
      <alignment vertical="center"/>
    </xf>
    <xf fontId="27" fillId="0" borderId="10" numFmtId="164" xfId="0" applyNumberFormat="1" applyFont="1" applyBorder="1" applyAlignment="1">
      <alignment horizontal="right" vertical="center"/>
    </xf>
    <xf fontId="27" fillId="0" borderId="0" numFmtId="0" xfId="0" applyFont="1" applyAlignment="1">
      <alignment vertical="center"/>
    </xf>
    <xf fontId="27" fillId="0" borderId="0" numFmtId="164" xfId="0" applyNumberFormat="1" applyFont="1" applyAlignment="1">
      <alignment vertical="center"/>
    </xf>
    <xf fontId="0" fillId="0" borderId="0" numFmtId="0" xfId="0" applyAlignment="1">
      <alignment horizontal="center" vertical="center" wrapText="1"/>
    </xf>
    <xf fontId="80" fillId="0" borderId="0" numFmtId="0" xfId="0" applyFont="1" applyAlignment="1" applyProtection="1">
      <alignment horizontal="center" vertical="center" wrapText="1"/>
      <protection locked="0"/>
    </xf>
    <xf fontId="80" fillId="0" borderId="0" numFmtId="0" xfId="0" applyFont="1" applyAlignment="1" applyProtection="1">
      <alignment horizontal="center" vertical="center"/>
      <protection locked="0"/>
    </xf>
    <xf fontId="80" fillId="0" borderId="0" numFmtId="164" xfId="0" applyNumberFormat="1" applyFont="1" applyAlignment="1" applyProtection="1">
      <alignment horizontal="center" vertical="center"/>
      <protection locked="0"/>
    </xf>
    <xf fontId="25" fillId="0" borderId="10" numFmtId="0" xfId="0" applyFont="1" applyBorder="1" applyAlignment="1">
      <alignment horizontal="left" vertical="center" wrapText="1"/>
    </xf>
    <xf fontId="25" fillId="0" borderId="11" numFmtId="0" xfId="0" applyFont="1" applyBorder="1" applyAlignment="1">
      <alignment horizontal="center" vertical="center" wrapText="1"/>
    </xf>
    <xf fontId="25" fillId="34" borderId="10" numFmtId="0" xfId="0" applyFont="1" applyFill="1" applyBorder="1" applyAlignment="1" applyProtection="1">
      <alignment horizontal="center" vertical="center" wrapText="1"/>
    </xf>
    <xf fontId="25" fillId="0" borderId="10" numFmtId="0" xfId="0" applyFont="1" applyBorder="1" applyAlignment="1" applyProtection="1">
      <alignment horizontal="right" vertical="center"/>
    </xf>
    <xf fontId="25" fillId="0" borderId="10" numFmtId="166" xfId="0" applyNumberFormat="1" applyFont="1" applyBorder="1" applyAlignment="1" applyProtection="1">
      <alignment horizontal="right" vertical="center"/>
    </xf>
    <xf fontId="28" fillId="0" borderId="10" numFmtId="0" xfId="0" applyFont="1" applyBorder="1" applyAlignment="1">
      <alignment horizontal="center" vertical="center" wrapText="1"/>
    </xf>
    <xf fontId="25" fillId="0" borderId="10" numFmtId="166" xfId="0" applyNumberFormat="1" applyFont="1" applyBorder="1" applyAlignment="1">
      <alignment vertical="center"/>
    </xf>
    <xf fontId="49" fillId="0" borderId="10" numFmtId="0" xfId="0" applyFont="1" applyBorder="1" applyAlignment="1">
      <alignment horizontal="center" vertical="center" wrapText="1"/>
    </xf>
    <xf fontId="27" fillId="0" borderId="10" numFmtId="0" xfId="0" applyFont="1" applyBorder="1" applyAlignment="1" applyProtection="1">
      <alignment vertical="center" wrapText="1"/>
    </xf>
    <xf fontId="27" fillId="0" borderId="10" numFmtId="166" xfId="0" applyNumberFormat="1" applyFont="1" applyBorder="1" applyAlignment="1">
      <alignment horizontal="right" vertical="center"/>
    </xf>
    <xf fontId="27" fillId="0" borderId="10" numFmtId="165" xfId="0" applyNumberFormat="1" applyFont="1" applyBorder="1" applyAlignment="1" applyProtection="1">
      <alignment horizontal="center" vertical="center" wrapText="1"/>
    </xf>
    <xf fontId="27" fillId="0" borderId="10" numFmtId="0" xfId="0" applyFont="1" applyBorder="1" applyAlignment="1">
      <alignment horizontal="center" vertical="center" wrapText="1"/>
    </xf>
    <xf fontId="25" fillId="0" borderId="10" numFmtId="0" xfId="0" applyFont="1" applyBorder="1" applyAlignment="1" applyProtection="1">
      <alignment horizontal="left" vertical="center" wrapText="1"/>
    </xf>
    <xf fontId="0" fillId="0" borderId="0" numFmtId="0" xfId="0" applyAlignment="1">
      <alignment vertical="center" wrapText="1"/>
    </xf>
    <xf fontId="73" fillId="0" borderId="0" numFmtId="0" xfId="0" applyFont="1" applyAlignment="1" applyProtection="1">
      <alignment horizontal="center" vertical="center"/>
      <protection locked="0"/>
    </xf>
    <xf fontId="73" fillId="0" borderId="0" numFmtId="164" xfId="0" applyNumberFormat="1" applyFont="1" applyAlignment="1" applyProtection="1">
      <alignment horizontal="center" vertical="center"/>
      <protection locked="0"/>
    </xf>
    <xf fontId="28" fillId="0" borderId="0" numFmtId="0" xfId="0" applyFont="1" applyAlignment="1">
      <alignment vertical="center" wrapText="1"/>
    </xf>
    <xf fontId="25" fillId="0" borderId="10" numFmtId="165" xfId="0" applyNumberFormat="1" applyFont="1" applyBorder="1" applyAlignment="1" applyProtection="1">
      <alignment horizontal="right" vertical="center"/>
    </xf>
    <xf fontId="28" fillId="0" borderId="10" numFmtId="0" xfId="0" applyFont="1" applyBorder="1" applyAlignment="1">
      <alignment vertical="center" wrapText="1"/>
    </xf>
    <xf fontId="27" fillId="0" borderId="10" numFmtId="0" xfId="0" applyFont="1" applyBorder="1" applyAlignment="1" applyProtection="1">
      <alignment horizontal="center" vertical="center" wrapText="1"/>
    </xf>
    <xf fontId="49" fillId="0" borderId="10" numFmtId="0" xfId="0" applyFont="1" applyBorder="1" applyAlignment="1">
      <alignment vertical="center" wrapText="1"/>
    </xf>
    <xf fontId="27" fillId="0" borderId="10" numFmtId="165" xfId="0" applyNumberFormat="1" applyFont="1" applyBorder="1" applyAlignment="1" applyProtection="1">
      <alignment horizontal="right" vertical="center" wrapText="1"/>
    </xf>
    <xf fontId="27" fillId="0" borderId="13" numFmtId="165" xfId="0" applyNumberFormat="1" applyFont="1" applyBorder="1" applyAlignment="1" applyProtection="1">
      <alignment horizontal="right" vertical="center"/>
    </xf>
    <xf fontId="25" fillId="0" borderId="13" numFmtId="165" xfId="0" applyNumberFormat="1" applyFont="1" applyBorder="1" applyAlignment="1" applyProtection="1">
      <alignment horizontal="right"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1998—2004年决算资料整理第三部分 2" xfId="49"/>
    <cellStyle name="常规 2" xfId="50"/>
    <cellStyle name="常规_扶持人口较少民族发展动态监测系统15" xfId="51"/>
  </cellStyles>
  <dxfs count="1">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0" Type="http://schemas.openxmlformats.org/officeDocument/2006/relationships/styles" Target="styles.xml"/><Relationship  Id="rId21" Type="http://schemas.openxmlformats.org/officeDocument/2006/relationships/worksheet" Target="worksheets/sheet16.xml"/><Relationship  Id="rId27" Type="http://schemas.openxmlformats.org/officeDocument/2006/relationships/worksheet" Target="worksheets/sheet22.xml"/><Relationship  Id="rId26" Type="http://schemas.openxmlformats.org/officeDocument/2006/relationships/worksheet" Target="worksheets/sheet21.xml"/><Relationship  Id="rId24" Type="http://schemas.openxmlformats.org/officeDocument/2006/relationships/worksheet" Target="worksheets/sheet19.xml"/><Relationship  Id="rId20" Type="http://schemas.openxmlformats.org/officeDocument/2006/relationships/worksheet" Target="worksheets/sheet15.xml"/><Relationship  Id="rId23" Type="http://schemas.openxmlformats.org/officeDocument/2006/relationships/worksheet" Target="worksheets/sheet18.xml"/><Relationship  Id="rId22" Type="http://schemas.openxmlformats.org/officeDocument/2006/relationships/worksheet" Target="worksheets/sheet17.xml"/><Relationship  Id="rId19" Type="http://schemas.openxmlformats.org/officeDocument/2006/relationships/worksheet" Target="worksheets/sheet14.xml"/><Relationship  Id="rId13" Type="http://schemas.openxmlformats.org/officeDocument/2006/relationships/worksheet" Target="worksheets/sheet8.xml"/><Relationship  Id="rId16" Type="http://schemas.openxmlformats.org/officeDocument/2006/relationships/worksheet" Target="worksheets/sheet11.xml"/><Relationship  Id="rId12" Type="http://schemas.openxmlformats.org/officeDocument/2006/relationships/worksheet" Target="worksheets/sheet7.xml"/><Relationship  Id="rId8" Type="http://schemas.openxmlformats.org/officeDocument/2006/relationships/worksheet" Target="worksheets/sheet3.xml"/><Relationship  Id="rId11" Type="http://schemas.openxmlformats.org/officeDocument/2006/relationships/worksheet" Target="worksheets/sheet6.xml"/><Relationship  Id="rId14" Type="http://schemas.openxmlformats.org/officeDocument/2006/relationships/worksheet" Target="worksheets/sheet9.xml"/><Relationship  Id="rId7" Type="http://schemas.openxmlformats.org/officeDocument/2006/relationships/worksheet" Target="worksheets/sheet2.xml"/><Relationship  Id="rId10" Type="http://schemas.openxmlformats.org/officeDocument/2006/relationships/worksheet" Target="worksheets/sheet5.xml"/><Relationship  Id="rId3" Type="http://schemas.openxmlformats.org/officeDocument/2006/relationships/externalLink" Target="externalLinks/externalLink3.xml"/><Relationship  Id="rId15" Type="http://schemas.openxmlformats.org/officeDocument/2006/relationships/worksheet" Target="worksheets/sheet10.xml"/><Relationship  Id="rId18" Type="http://schemas.openxmlformats.org/officeDocument/2006/relationships/worksheet" Target="worksheets/sheet13.xml"/><Relationship  Id="rId1" Type="http://schemas.openxmlformats.org/officeDocument/2006/relationships/externalLink" Target="externalLinks/externalLink1.xml"/><Relationship  Id="rId9" Type="http://schemas.openxmlformats.org/officeDocument/2006/relationships/worksheet" Target="worksheets/sheet4.xml"/><Relationship  Id="rId6" Type="http://schemas.openxmlformats.org/officeDocument/2006/relationships/worksheet" Target="worksheets/sheet1.xml"/><Relationship  Id="rId17" Type="http://schemas.openxmlformats.org/officeDocument/2006/relationships/worksheet" Target="worksheets/sheet12.xml"/><Relationship  Id="rId29" Type="http://schemas.openxmlformats.org/officeDocument/2006/relationships/sharedStrings" Target="sharedStrings.xml"/><Relationship  Id="rId25" Type="http://schemas.openxmlformats.org/officeDocument/2006/relationships/worksheet" Target="worksheets/sheet20.xml"/><Relationship  Id="rId2" Type="http://schemas.openxmlformats.org/officeDocument/2006/relationships/externalLink" Target="externalLinks/externalLink2.xml"/><Relationship  Id="rId5" Type="http://schemas.openxmlformats.org/officeDocument/2006/relationships/externalLink" Target="externalLinks/externalLink5.xml"/><Relationship  Id="rId4" Type="http://schemas.openxmlformats.org/officeDocument/2006/relationships/externalLink" Target="externalLinks/externalLink4.xml"/><Relationship  Id="rId28" Type="http://schemas.openxmlformats.org/officeDocument/2006/relationships/theme" Target="theme/theme1.xml"/></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file:///\\data\2023&#24180;&#29579;&#29734;&#30340;&#25991;&#20214;&#22841;\&#36164;&#37329;&#19979;&#36798;\&#30465;&#32423;\&#30465;&#32423;&#20998;&#37197;&#26041;&#26696;\2023&#24180;&#30465;&#32423;&#36164;&#37329;&#20998;&#37197;&#26041;&#26696;&#20826;&#32452;&#20250;&#36164;&#26009;&#65288;&#26410;&#36890;&#36807;2023.1.3&#65289;\&#19978;&#20826;&#32452;&#20250;&#31295;&#65288;2023.1.3&#65289;\\\home\kylin\&#26700;&#38754;\\\data\2023&#24180;&#29579;&#29734;&#30340;&#25991;&#20214;&#22841;\&#36164;&#37329;&#19979;&#36798;\&#30465;&#32423;\&#31532;&#19968;&#31295;12.20\C:\Users\liqiuhua\Downloads\&#20113;&#36130;&#20892;&#12308;2022&#12309;255&#21495;&#20065;&#26449;&#25391;&#20852;&#23616;2023&#24180;&#20013;&#22830;&#25552;&#21069;&#25209;&#36130;&#25919;&#34900;&#25509;&#25512;&#36827;&#20065;&#26449;&#25391;&#20852;&#34917;&#21161;&#36164;&#37329;&#27979;&#31639;&#20998;&#37197;&#34920;.xlsx" TargetMode="External"/></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data\2023&#24180;&#29579;&#29734;&#30340;&#25991;&#20214;&#22841;\&#36164;&#37329;&#19979;&#36798;\&#30465;&#32423;\&#30465;&#32423;&#20998;&#37197;&#26041;&#26696;\2023&#24180;&#30465;&#32423;&#36164;&#37329;&#20998;&#37197;&#26041;&#26696;&#20826;&#32452;&#20250;&#36164;&#26009;&#65288;&#26410;&#36890;&#36807;2023.1.3&#65289;\&#19978;&#20826;&#32452;&#20250;&#31295;&#65288;2023.1.3&#65289;\2021-2022&#24180;&#33073;&#36139;&#20154;&#21475;&#25910;&#20837;&#21644;&#20154;&#25968;&#25968;&#25454;.xlsx" TargetMode="External"/></Relationships>
</file>

<file path=xl/externalLinks/_rels/externalLink3.xml.rels><?xml version="1.0" encoding="UTF-8" standalone="yes"?><Relationships xmlns="http://schemas.openxmlformats.org/package/2006/relationships"><Relationship  Id="rId1" Type="http://schemas.openxmlformats.org/officeDocument/2006/relationships/externalLinkPath" Target="&#39033;&#30446;&#20449;&#24687;&#32508;&#21512;&#26597;&#35810;_20230217.xlsx" TargetMode="External"/></Relationships>
</file>

<file path=xl/externalLinks/_rels/externalLink4.xml.rels><?xml version="1.0" encoding="UTF-8" standalone="yes"?><Relationships xmlns="http://schemas.openxmlformats.org/package/2006/relationships"><Relationship  Id="rId1" Type="http://schemas.openxmlformats.org/officeDocument/2006/relationships/externalLinkPath" Target="\&#20892;&#19994;&#20892;&#26449;&#22788;&#24037;&#20316;&#26448;&#26009;\&#25968;&#25454;&#32479;&#35745;\&#32479;&#35745;&#25968;&#25454;\2024&#24180;&#20013;&#22830;&#21644;&#30465;&#32423;&#36130;&#25919;&#34900;&#25509;&#25512;&#36827;&#20065;&#26449;&#25391;&#20852;&#34917;&#21161;&#36164;&#37329;&#20998;&#21439;&#32479;&#35745;&#34920;.xlsx" TargetMode="External"/></Relationships>
</file>

<file path=xl/externalLinks/_rels/externalLink5.xml.rels><?xml version="1.0" encoding="UTF-8" standalone="yes"?><Relationships xmlns="http://schemas.openxmlformats.org/package/2006/relationships"><Relationship  Id="rId1" Type="http://schemas.openxmlformats.org/officeDocument/2006/relationships/externalLinkPath" Target="2025.7.1%202025&#24180;&#30465;&#32423;&#36130;&#25919;&#34900;&#25509;&#25512;&#36827;&#20065;&#26449;&#25391;&#20852;&#34917;&#21161;&#36164;&#37329;&#27979;&#31639;&#24773;&#20917;&#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0"/>
      <sheetName val="表6资金使用成效（12月30日）"/>
      <sheetName val="小康村到县资金"/>
      <sheetName val="乡村振兴局测算11.11"/>
      <sheetName val="财政调整1"/>
      <sheetName val="财政调整2"/>
      <sheetName val="系统导出监测人口统计表"/>
      <sheetName val="脱贫和监测人口收入"/>
      <sheetName val="小额信贷规模"/>
      <sheetName val="2022年项目库建设情况"/>
      <sheetName val="综合进度表"/>
      <sheetName val="万人以上安置区"/>
      <sheetName val="3000以上安置区"/>
      <sheetName val="脱贫和监测人口外出务工"/>
      <sheetName val="资金绩效考核"/>
      <sheetName val="财政调整3"/>
      <sheetName val="Sheet1"/>
      <sheetName val="财政测算表"/>
      <sheetName val="表6资金使用成效（预算执行率）原稿"/>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3"/>
      <sheetName val="项目库建设情况统计表"/>
    </sheetNames>
    <sheetDataSet>
      <sheetData sheetId="0"/>
      <sheetData sheetId="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据透视加工表"/>
      <sheetName val="数据透视原表"/>
      <sheetName val="项目信息综合查询_1"/>
    </sheetNames>
    <sheetDataSet>
      <sheetData sheetId="0">
        <row r="2">
          <cell r="B1" t="str">
            <v>县</v>
          </cell>
          <cell r="C1" t="str">
            <v>项目个数</v>
          </cell>
          <cell r="D1" t="str">
            <v>投资规模</v>
          </cell>
        </row>
        <row r="3">
          <cell r="C2">
            <v>749</v>
          </cell>
          <cell r="D2">
            <v>147512.365</v>
          </cell>
        </row>
        <row r="4">
          <cell r="B3" t="str">
            <v>昌宁县</v>
          </cell>
          <cell r="C3">
            <v>81</v>
          </cell>
          <cell r="D3">
            <v>30280.21</v>
          </cell>
        </row>
        <row r="5">
          <cell r="B4" t="str">
            <v>龙陵县</v>
          </cell>
          <cell r="C4">
            <v>61</v>
          </cell>
          <cell r="D4">
            <v>24200.85</v>
          </cell>
        </row>
        <row r="6">
          <cell r="B5" t="str">
            <v>隆阳区</v>
          </cell>
          <cell r="C5">
            <v>70</v>
          </cell>
          <cell r="D5">
            <v>31656.54</v>
          </cell>
        </row>
        <row r="7">
          <cell r="B6" t="str">
            <v>施甸县</v>
          </cell>
          <cell r="C6">
            <v>299</v>
          </cell>
          <cell r="D6">
            <v>44563.665</v>
          </cell>
        </row>
        <row r="8">
          <cell r="B7" t="str">
            <v>腾冲市</v>
          </cell>
          <cell r="C7">
            <v>238</v>
          </cell>
          <cell r="D7">
            <v>16811.1</v>
          </cell>
        </row>
        <row r="9">
          <cell r="C8">
            <v>1718</v>
          </cell>
          <cell r="D8">
            <v>577749.80696</v>
          </cell>
        </row>
        <row r="10">
          <cell r="B9" t="str">
            <v>楚雄市</v>
          </cell>
          <cell r="C9">
            <v>197</v>
          </cell>
          <cell r="D9">
            <v>36937.6027</v>
          </cell>
        </row>
        <row r="11">
          <cell r="B10" t="str">
            <v>大姚县</v>
          </cell>
          <cell r="C10">
            <v>180</v>
          </cell>
          <cell r="D10">
            <v>40551.27</v>
          </cell>
        </row>
        <row r="12">
          <cell r="B11" t="str">
            <v>禄丰市</v>
          </cell>
          <cell r="C11">
            <v>86</v>
          </cell>
          <cell r="D11">
            <v>60069.87</v>
          </cell>
        </row>
        <row r="13">
          <cell r="B12" t="str">
            <v>牟定县</v>
          </cell>
          <cell r="C12">
            <v>56</v>
          </cell>
          <cell r="D12">
            <v>61894.36</v>
          </cell>
        </row>
        <row r="14">
          <cell r="B13" t="str">
            <v>南华县</v>
          </cell>
          <cell r="C13">
            <v>188</v>
          </cell>
          <cell r="D13">
            <v>55109.715</v>
          </cell>
        </row>
        <row r="15">
          <cell r="B14" t="str">
            <v>双柏县</v>
          </cell>
          <cell r="C14">
            <v>149</v>
          </cell>
          <cell r="D14">
            <v>30017.09</v>
          </cell>
        </row>
        <row r="16">
          <cell r="B15" t="str">
            <v>武定县</v>
          </cell>
          <cell r="C15">
            <v>373</v>
          </cell>
          <cell r="D15">
            <v>86628.50566</v>
          </cell>
        </row>
        <row r="17">
          <cell r="B16" t="str">
            <v>姚安县</v>
          </cell>
          <cell r="C16">
            <v>173</v>
          </cell>
          <cell r="D16">
            <v>159332.25</v>
          </cell>
        </row>
        <row r="18">
          <cell r="B17" t="str">
            <v>永仁县</v>
          </cell>
          <cell r="C17">
            <v>102</v>
          </cell>
          <cell r="D17">
            <v>20261.46</v>
          </cell>
        </row>
        <row r="19">
          <cell r="B18" t="str">
            <v>元谋县</v>
          </cell>
          <cell r="C18">
            <v>214</v>
          </cell>
          <cell r="D18">
            <v>26947.6836</v>
          </cell>
        </row>
        <row r="20">
          <cell r="C19">
            <v>644</v>
          </cell>
          <cell r="D19">
            <v>249656.94</v>
          </cell>
        </row>
        <row r="21">
          <cell r="B20" t="str">
            <v>宾川县</v>
          </cell>
          <cell r="C20">
            <v>40</v>
          </cell>
          <cell r="D20">
            <v>23312.3</v>
          </cell>
        </row>
        <row r="22">
          <cell r="B21" t="str">
            <v>大理市</v>
          </cell>
          <cell r="C21">
            <v>49</v>
          </cell>
          <cell r="D21">
            <v>13500.55</v>
          </cell>
        </row>
        <row r="23">
          <cell r="B22" t="str">
            <v>洱源县</v>
          </cell>
          <cell r="C22">
            <v>19</v>
          </cell>
          <cell r="D22">
            <v>12796.14</v>
          </cell>
        </row>
        <row r="24">
          <cell r="B23" t="str">
            <v>鹤庆县</v>
          </cell>
          <cell r="C23">
            <v>42</v>
          </cell>
          <cell r="D23">
            <v>13296.29</v>
          </cell>
        </row>
        <row r="25">
          <cell r="B24" t="str">
            <v>剑川县</v>
          </cell>
          <cell r="C24">
            <v>93</v>
          </cell>
          <cell r="D24">
            <v>28127</v>
          </cell>
        </row>
        <row r="26">
          <cell r="B25" t="str">
            <v>弥渡县</v>
          </cell>
          <cell r="C25">
            <v>57</v>
          </cell>
          <cell r="D25">
            <v>24915.06</v>
          </cell>
        </row>
        <row r="27">
          <cell r="B26" t="str">
            <v>南涧县</v>
          </cell>
          <cell r="C26">
            <v>56</v>
          </cell>
          <cell r="D26">
            <v>23702.55</v>
          </cell>
        </row>
        <row r="28">
          <cell r="B27" t="str">
            <v>巍山县</v>
          </cell>
          <cell r="C27">
            <v>53</v>
          </cell>
          <cell r="D27">
            <v>29425</v>
          </cell>
        </row>
        <row r="29">
          <cell r="B28" t="str">
            <v>祥云县</v>
          </cell>
          <cell r="C28">
            <v>45</v>
          </cell>
          <cell r="D28">
            <v>15500.24</v>
          </cell>
        </row>
        <row r="30">
          <cell r="B29" t="str">
            <v>漾濞县</v>
          </cell>
          <cell r="C29">
            <v>38</v>
          </cell>
          <cell r="D29">
            <v>15452</v>
          </cell>
        </row>
        <row r="31">
          <cell r="B30" t="str">
            <v>永平县</v>
          </cell>
          <cell r="C30">
            <v>55</v>
          </cell>
          <cell r="D30">
            <v>19533</v>
          </cell>
        </row>
        <row r="32">
          <cell r="B31" t="str">
            <v>云龙县</v>
          </cell>
          <cell r="C31">
            <v>97</v>
          </cell>
          <cell r="D31">
            <v>30096.81</v>
          </cell>
        </row>
        <row r="33">
          <cell r="C32">
            <v>359</v>
          </cell>
          <cell r="D32">
            <v>175352.19</v>
          </cell>
        </row>
        <row r="34">
          <cell r="B33" t="str">
            <v>梁河县</v>
          </cell>
          <cell r="C33">
            <v>10</v>
          </cell>
          <cell r="D33">
            <v>6943.32</v>
          </cell>
        </row>
        <row r="35">
          <cell r="B34" t="str">
            <v>陇川县</v>
          </cell>
          <cell r="C34">
            <v>25</v>
          </cell>
          <cell r="D34">
            <v>28577</v>
          </cell>
        </row>
        <row r="36">
          <cell r="B35" t="str">
            <v>芒市</v>
          </cell>
          <cell r="C35">
            <v>113</v>
          </cell>
          <cell r="D35">
            <v>47818.78</v>
          </cell>
        </row>
        <row r="37">
          <cell r="B36" t="str">
            <v>瑞丽市</v>
          </cell>
          <cell r="C36">
            <v>109</v>
          </cell>
          <cell r="D36">
            <v>44413.39</v>
          </cell>
        </row>
        <row r="38">
          <cell r="B37" t="str">
            <v>盈江县</v>
          </cell>
          <cell r="C37">
            <v>102</v>
          </cell>
          <cell r="D37">
            <v>47599.7</v>
          </cell>
        </row>
        <row r="39">
          <cell r="C38">
            <v>191</v>
          </cell>
          <cell r="D38">
            <v>153913.431717</v>
          </cell>
        </row>
        <row r="40">
          <cell r="B39" t="str">
            <v>德钦县</v>
          </cell>
          <cell r="C39">
            <v>62</v>
          </cell>
          <cell r="D39">
            <v>45643</v>
          </cell>
        </row>
        <row r="41">
          <cell r="B40" t="str">
            <v>维西县</v>
          </cell>
          <cell r="C40">
            <v>29</v>
          </cell>
          <cell r="D40">
            <v>63616.4724</v>
          </cell>
        </row>
        <row r="42">
          <cell r="B41" t="str">
            <v>香格里拉市</v>
          </cell>
          <cell r="C41">
            <v>100</v>
          </cell>
          <cell r="D41">
            <v>44653.959317</v>
          </cell>
        </row>
        <row r="43">
          <cell r="C42">
            <v>1868</v>
          </cell>
          <cell r="D42">
            <v>548661.1713</v>
          </cell>
        </row>
        <row r="44">
          <cell r="B43" t="str">
            <v>个旧市</v>
          </cell>
          <cell r="C43">
            <v>76</v>
          </cell>
          <cell r="D43">
            <v>11157.28</v>
          </cell>
        </row>
        <row r="45">
          <cell r="B44" t="str">
            <v>河口县</v>
          </cell>
          <cell r="C44">
            <v>461</v>
          </cell>
          <cell r="D44">
            <v>126668.63</v>
          </cell>
        </row>
        <row r="46">
          <cell r="B45" t="str">
            <v>红河县</v>
          </cell>
          <cell r="C45">
            <v>96</v>
          </cell>
          <cell r="D45">
            <v>52709.78</v>
          </cell>
        </row>
        <row r="47">
          <cell r="B46" t="str">
            <v>建水县</v>
          </cell>
          <cell r="C46">
            <v>84</v>
          </cell>
          <cell r="D46">
            <v>19334.3</v>
          </cell>
        </row>
        <row r="48">
          <cell r="B47" t="str">
            <v>金平县</v>
          </cell>
          <cell r="C47">
            <v>198</v>
          </cell>
          <cell r="D47">
            <v>38990.52</v>
          </cell>
        </row>
        <row r="49">
          <cell r="B48" t="str">
            <v>开远市</v>
          </cell>
          <cell r="C48">
            <v>113</v>
          </cell>
          <cell r="D48">
            <v>34864.98</v>
          </cell>
        </row>
        <row r="50">
          <cell r="B49" t="str">
            <v>泸西县</v>
          </cell>
          <cell r="C49">
            <v>94</v>
          </cell>
          <cell r="D49">
            <v>30710.9</v>
          </cell>
        </row>
        <row r="51">
          <cell r="B50" t="str">
            <v>绿春县</v>
          </cell>
          <cell r="C50">
            <v>192</v>
          </cell>
          <cell r="D50">
            <v>38782.035</v>
          </cell>
        </row>
        <row r="52">
          <cell r="B51" t="str">
            <v>蒙自市</v>
          </cell>
          <cell r="C51">
            <v>56</v>
          </cell>
          <cell r="D51">
            <v>18478.52</v>
          </cell>
        </row>
        <row r="53">
          <cell r="B52" t="str">
            <v>弥勒市</v>
          </cell>
          <cell r="C52">
            <v>66</v>
          </cell>
          <cell r="D52">
            <v>13422.6823</v>
          </cell>
        </row>
        <row r="54">
          <cell r="B53" t="str">
            <v>屏边县</v>
          </cell>
          <cell r="C53">
            <v>175</v>
          </cell>
          <cell r="D53">
            <v>78423.62</v>
          </cell>
        </row>
        <row r="55">
          <cell r="B54" t="str">
            <v>石屏县</v>
          </cell>
          <cell r="C54">
            <v>76</v>
          </cell>
          <cell r="D54">
            <v>35205.41</v>
          </cell>
        </row>
        <row r="56">
          <cell r="B55" t="str">
            <v>元阳县</v>
          </cell>
          <cell r="C55">
            <v>181</v>
          </cell>
          <cell r="D55">
            <v>49912.514</v>
          </cell>
        </row>
        <row r="57">
          <cell r="C56">
            <v>478</v>
          </cell>
          <cell r="D56">
            <v>355446.396</v>
          </cell>
        </row>
        <row r="58">
          <cell r="B57" t="str">
            <v>安宁市</v>
          </cell>
          <cell r="C57">
            <v>8</v>
          </cell>
          <cell r="D57">
            <v>741</v>
          </cell>
        </row>
        <row r="59">
          <cell r="B58" t="str">
            <v>呈贡区</v>
          </cell>
          <cell r="C58">
            <v>3</v>
          </cell>
          <cell r="D58">
            <v>290</v>
          </cell>
        </row>
        <row r="60">
          <cell r="B59" t="str">
            <v>东川区</v>
          </cell>
          <cell r="C59">
            <v>56</v>
          </cell>
          <cell r="D59">
            <v>53580.54</v>
          </cell>
        </row>
        <row r="61">
          <cell r="B60" t="str">
            <v>富民县</v>
          </cell>
          <cell r="C60">
            <v>27</v>
          </cell>
          <cell r="D60">
            <v>15419.38</v>
          </cell>
        </row>
        <row r="62">
          <cell r="B61" t="str">
            <v>晋宁区</v>
          </cell>
          <cell r="C61">
            <v>52</v>
          </cell>
          <cell r="D61">
            <v>36282</v>
          </cell>
        </row>
        <row r="63">
          <cell r="B62" t="str">
            <v>经济技术开发区</v>
          </cell>
          <cell r="C62">
            <v>9</v>
          </cell>
          <cell r="D62">
            <v>106758.77</v>
          </cell>
        </row>
        <row r="64">
          <cell r="B63" t="str">
            <v>禄劝县</v>
          </cell>
          <cell r="C63">
            <v>55</v>
          </cell>
          <cell r="D63">
            <v>61246.93</v>
          </cell>
        </row>
        <row r="65">
          <cell r="B64" t="str">
            <v>盘龙区</v>
          </cell>
          <cell r="C64">
            <v>24</v>
          </cell>
          <cell r="D64">
            <v>10876.1663</v>
          </cell>
        </row>
        <row r="66">
          <cell r="B65" t="str">
            <v>石林县</v>
          </cell>
          <cell r="C65">
            <v>47</v>
          </cell>
          <cell r="D65">
            <v>7860.08</v>
          </cell>
        </row>
        <row r="67">
          <cell r="B66" t="str">
            <v>嵩明县</v>
          </cell>
          <cell r="C66">
            <v>10</v>
          </cell>
          <cell r="D66">
            <v>8622.18</v>
          </cell>
        </row>
        <row r="68">
          <cell r="B67" t="str">
            <v>五华区</v>
          </cell>
          <cell r="C67">
            <v>10</v>
          </cell>
          <cell r="D67">
            <v>614.4</v>
          </cell>
        </row>
        <row r="69">
          <cell r="B68" t="str">
            <v>西山区</v>
          </cell>
          <cell r="C68">
            <v>6</v>
          </cell>
          <cell r="D68">
            <v>3961</v>
          </cell>
        </row>
        <row r="70">
          <cell r="B69" t="str">
            <v>寻甸县</v>
          </cell>
          <cell r="C69">
            <v>107</v>
          </cell>
          <cell r="D69">
            <v>36763.3897</v>
          </cell>
        </row>
        <row r="71">
          <cell r="B70" t="str">
            <v>阳宗海风景名胜区</v>
          </cell>
          <cell r="C70">
            <v>5</v>
          </cell>
          <cell r="D70">
            <v>1603</v>
          </cell>
        </row>
        <row r="72">
          <cell r="B71" t="str">
            <v>宜良县</v>
          </cell>
          <cell r="C71">
            <v>59</v>
          </cell>
          <cell r="D71">
            <v>10827.56</v>
          </cell>
        </row>
        <row r="73">
          <cell r="C72">
            <v>677</v>
          </cell>
          <cell r="D72">
            <v>142606.522651</v>
          </cell>
        </row>
        <row r="74">
          <cell r="B73" t="str">
            <v>古城区</v>
          </cell>
          <cell r="C73">
            <v>72</v>
          </cell>
          <cell r="D73">
            <v>10287.26</v>
          </cell>
        </row>
        <row r="75">
          <cell r="B74" t="str">
            <v>华坪县</v>
          </cell>
          <cell r="C74">
            <v>155</v>
          </cell>
          <cell r="D74">
            <v>12037.528</v>
          </cell>
        </row>
        <row r="76">
          <cell r="B75" t="str">
            <v>宁蒗县</v>
          </cell>
          <cell r="C75">
            <v>207</v>
          </cell>
          <cell r="D75">
            <v>58630.385</v>
          </cell>
        </row>
        <row r="77">
          <cell r="B76" t="str">
            <v>永胜县</v>
          </cell>
          <cell r="C76">
            <v>163</v>
          </cell>
          <cell r="D76">
            <v>40167.596251</v>
          </cell>
        </row>
        <row r="78">
          <cell r="B77" t="str">
            <v>玉龙县</v>
          </cell>
          <cell r="C77">
            <v>80</v>
          </cell>
          <cell r="D77">
            <v>21483.7534</v>
          </cell>
        </row>
        <row r="79">
          <cell r="C78">
            <v>1024</v>
          </cell>
          <cell r="D78">
            <v>382178.46</v>
          </cell>
        </row>
        <row r="80">
          <cell r="B79" t="str">
            <v>沧源县</v>
          </cell>
          <cell r="C79">
            <v>140</v>
          </cell>
          <cell r="D79">
            <v>81922.35</v>
          </cell>
        </row>
        <row r="81">
          <cell r="B80" t="str">
            <v>凤庆县</v>
          </cell>
          <cell r="C80">
            <v>220</v>
          </cell>
          <cell r="D80">
            <v>61950.65</v>
          </cell>
        </row>
        <row r="82">
          <cell r="B81" t="str">
            <v>耿马县</v>
          </cell>
          <cell r="C81">
            <v>106</v>
          </cell>
          <cell r="D81">
            <v>35067.6</v>
          </cell>
        </row>
        <row r="83">
          <cell r="B82" t="str">
            <v>临翔区</v>
          </cell>
          <cell r="C82">
            <v>89</v>
          </cell>
          <cell r="D82">
            <v>24686.58</v>
          </cell>
        </row>
        <row r="84">
          <cell r="B83" t="str">
            <v>双江县</v>
          </cell>
          <cell r="C83">
            <v>98</v>
          </cell>
          <cell r="D83">
            <v>31875.47</v>
          </cell>
        </row>
        <row r="85">
          <cell r="B84" t="str">
            <v>永德县</v>
          </cell>
          <cell r="C84">
            <v>170</v>
          </cell>
          <cell r="D84">
            <v>71363.06</v>
          </cell>
        </row>
        <row r="86">
          <cell r="B85" t="str">
            <v>云县</v>
          </cell>
          <cell r="C85">
            <v>86</v>
          </cell>
          <cell r="D85">
            <v>38385.5</v>
          </cell>
        </row>
        <row r="87">
          <cell r="B86" t="str">
            <v>镇康县</v>
          </cell>
          <cell r="C86">
            <v>115</v>
          </cell>
          <cell r="D86">
            <v>36927.25</v>
          </cell>
        </row>
        <row r="88">
          <cell r="C87">
            <v>842</v>
          </cell>
          <cell r="D87">
            <v>472299.350682</v>
          </cell>
        </row>
        <row r="89">
          <cell r="B88" t="str">
            <v>福贡县</v>
          </cell>
          <cell r="C88">
            <v>242</v>
          </cell>
          <cell r="D88">
            <v>75028.983</v>
          </cell>
        </row>
        <row r="90">
          <cell r="B89" t="str">
            <v>贡山县</v>
          </cell>
          <cell r="C89">
            <v>135</v>
          </cell>
          <cell r="D89">
            <v>81860.14</v>
          </cell>
        </row>
        <row r="91">
          <cell r="B90" t="str">
            <v>兰坪县</v>
          </cell>
          <cell r="C90">
            <v>268</v>
          </cell>
          <cell r="D90">
            <v>161305.587682</v>
          </cell>
        </row>
        <row r="92">
          <cell r="B91" t="str">
            <v>泸水市</v>
          </cell>
          <cell r="C91">
            <v>197</v>
          </cell>
          <cell r="D91">
            <v>154104.64</v>
          </cell>
        </row>
        <row r="93">
          <cell r="C92">
            <v>1452</v>
          </cell>
          <cell r="D92">
            <v>433244.472</v>
          </cell>
        </row>
        <row r="94">
          <cell r="B93" t="str">
            <v>江城县</v>
          </cell>
          <cell r="C93">
            <v>171</v>
          </cell>
          <cell r="D93">
            <v>56184.98</v>
          </cell>
        </row>
        <row r="95">
          <cell r="B94" t="str">
            <v>景东县</v>
          </cell>
          <cell r="C94">
            <v>190</v>
          </cell>
          <cell r="D94">
            <v>73448.99</v>
          </cell>
        </row>
        <row r="96">
          <cell r="B95" t="str">
            <v>景谷县</v>
          </cell>
          <cell r="C95">
            <v>96</v>
          </cell>
          <cell r="D95">
            <v>31555.51</v>
          </cell>
        </row>
        <row r="97">
          <cell r="B96" t="str">
            <v>澜沧县</v>
          </cell>
          <cell r="C96">
            <v>208</v>
          </cell>
          <cell r="D96">
            <v>68829.407</v>
          </cell>
        </row>
        <row r="98">
          <cell r="B97" t="str">
            <v>孟连县</v>
          </cell>
          <cell r="C97">
            <v>141</v>
          </cell>
          <cell r="D97">
            <v>28945.21</v>
          </cell>
        </row>
        <row r="99">
          <cell r="B98" t="str">
            <v>墨江县</v>
          </cell>
          <cell r="C98">
            <v>120</v>
          </cell>
          <cell r="D98">
            <v>61593.495</v>
          </cell>
        </row>
        <row r="100">
          <cell r="B99" t="str">
            <v>宁洱县</v>
          </cell>
          <cell r="C99">
            <v>142</v>
          </cell>
          <cell r="D99">
            <v>13691.995</v>
          </cell>
        </row>
        <row r="101">
          <cell r="B100" t="str">
            <v>思茅区</v>
          </cell>
          <cell r="C100">
            <v>136</v>
          </cell>
          <cell r="D100">
            <v>31221.61</v>
          </cell>
        </row>
        <row r="102">
          <cell r="B101" t="str">
            <v>西盟县</v>
          </cell>
          <cell r="C101">
            <v>179</v>
          </cell>
          <cell r="D101">
            <v>35627.14</v>
          </cell>
        </row>
        <row r="103">
          <cell r="B102" t="str">
            <v>镇沅县</v>
          </cell>
          <cell r="C102">
            <v>69</v>
          </cell>
          <cell r="D102">
            <v>32146.135</v>
          </cell>
        </row>
        <row r="104">
          <cell r="C103">
            <v>1521</v>
          </cell>
          <cell r="D103">
            <v>728648.03969</v>
          </cell>
        </row>
        <row r="105">
          <cell r="B104" t="str">
            <v>富源县</v>
          </cell>
          <cell r="C104">
            <v>123</v>
          </cell>
          <cell r="D104">
            <v>43123.32</v>
          </cell>
        </row>
        <row r="106">
          <cell r="B105" t="str">
            <v>会泽县</v>
          </cell>
          <cell r="C105">
            <v>603</v>
          </cell>
          <cell r="D105">
            <v>385201.2651</v>
          </cell>
        </row>
        <row r="107">
          <cell r="B106" t="str">
            <v>陆良县</v>
          </cell>
          <cell r="C106">
            <v>176</v>
          </cell>
          <cell r="D106">
            <v>73246.3125</v>
          </cell>
        </row>
        <row r="108">
          <cell r="B107" t="str">
            <v>罗平县</v>
          </cell>
          <cell r="C107">
            <v>67</v>
          </cell>
          <cell r="D107">
            <v>16894.71</v>
          </cell>
        </row>
        <row r="109">
          <cell r="B108" t="str">
            <v>马龙区</v>
          </cell>
          <cell r="C108">
            <v>263</v>
          </cell>
          <cell r="D108">
            <v>59420.55109</v>
          </cell>
        </row>
        <row r="110">
          <cell r="B109" t="str">
            <v>麒麟区</v>
          </cell>
          <cell r="C109">
            <v>104</v>
          </cell>
          <cell r="D109">
            <v>27618.481</v>
          </cell>
        </row>
        <row r="111">
          <cell r="B110" t="str">
            <v>师宗县</v>
          </cell>
          <cell r="C110">
            <v>19</v>
          </cell>
          <cell r="D110">
            <v>15800</v>
          </cell>
        </row>
        <row r="112">
          <cell r="B111" t="str">
            <v>宣威市</v>
          </cell>
          <cell r="C111">
            <v>102</v>
          </cell>
          <cell r="D111">
            <v>96493</v>
          </cell>
        </row>
        <row r="113">
          <cell r="B112" t="str">
            <v>沾益区</v>
          </cell>
          <cell r="C112">
            <v>64</v>
          </cell>
          <cell r="D112">
            <v>10850.4</v>
          </cell>
        </row>
        <row r="114">
          <cell r="C113">
            <v>903</v>
          </cell>
          <cell r="D113">
            <v>331333.104</v>
          </cell>
        </row>
        <row r="115">
          <cell r="B114" t="str">
            <v>富宁县</v>
          </cell>
          <cell r="C114">
            <v>95</v>
          </cell>
          <cell r="D114">
            <v>21486</v>
          </cell>
        </row>
        <row r="116">
          <cell r="B115" t="str">
            <v>广南县</v>
          </cell>
          <cell r="C115">
            <v>312</v>
          </cell>
          <cell r="D115">
            <v>123328.64</v>
          </cell>
        </row>
        <row r="117">
          <cell r="B116" t="str">
            <v>麻栗坡县</v>
          </cell>
          <cell r="C116">
            <v>113</v>
          </cell>
          <cell r="D116">
            <v>37585.7</v>
          </cell>
        </row>
        <row r="118">
          <cell r="B117" t="str">
            <v>马关县</v>
          </cell>
          <cell r="C117">
            <v>74</v>
          </cell>
          <cell r="D117">
            <v>62684.97</v>
          </cell>
        </row>
        <row r="119">
          <cell r="B118" t="str">
            <v>丘北县</v>
          </cell>
          <cell r="C118">
            <v>47</v>
          </cell>
          <cell r="D118">
            <v>23682.414</v>
          </cell>
        </row>
        <row r="120">
          <cell r="B119" t="str">
            <v>文山市</v>
          </cell>
          <cell r="C119">
            <v>120</v>
          </cell>
          <cell r="D119">
            <v>29863.79</v>
          </cell>
        </row>
        <row r="121">
          <cell r="B120" t="str">
            <v>西畴县</v>
          </cell>
          <cell r="C120">
            <v>115</v>
          </cell>
          <cell r="D120">
            <v>18006.24</v>
          </cell>
        </row>
        <row r="122">
          <cell r="B121" t="str">
            <v>砚山县</v>
          </cell>
          <cell r="C121">
            <v>27</v>
          </cell>
          <cell r="D121">
            <v>14695.35</v>
          </cell>
        </row>
        <row r="123">
          <cell r="C122">
            <v>189</v>
          </cell>
          <cell r="D122">
            <v>51041.1</v>
          </cell>
        </row>
        <row r="124">
          <cell r="B123" t="str">
            <v>景洪市</v>
          </cell>
          <cell r="C123">
            <v>106</v>
          </cell>
          <cell r="D123">
            <v>10176.91</v>
          </cell>
        </row>
        <row r="125">
          <cell r="B124" t="str">
            <v>勐海县</v>
          </cell>
          <cell r="C124">
            <v>38</v>
          </cell>
          <cell r="D124">
            <v>24824</v>
          </cell>
        </row>
        <row r="126">
          <cell r="B125" t="str">
            <v>勐腊县</v>
          </cell>
          <cell r="C125">
            <v>45</v>
          </cell>
          <cell r="D125">
            <v>16040.19</v>
          </cell>
        </row>
        <row r="127">
          <cell r="C126">
            <v>755</v>
          </cell>
          <cell r="D126">
            <v>194965.7673</v>
          </cell>
        </row>
        <row r="128">
          <cell r="B127" t="str">
            <v>澄江市</v>
          </cell>
          <cell r="C127">
            <v>102</v>
          </cell>
          <cell r="D127">
            <v>31200.0458</v>
          </cell>
        </row>
        <row r="129">
          <cell r="B128" t="str">
            <v>峨山县</v>
          </cell>
          <cell r="C128">
            <v>41</v>
          </cell>
          <cell r="D128">
            <v>5246</v>
          </cell>
        </row>
        <row r="130">
          <cell r="B129" t="str">
            <v>红塔区</v>
          </cell>
          <cell r="C129">
            <v>27</v>
          </cell>
          <cell r="D129">
            <v>7866.92</v>
          </cell>
        </row>
        <row r="131">
          <cell r="B130" t="str">
            <v>华宁县</v>
          </cell>
          <cell r="C130">
            <v>73</v>
          </cell>
          <cell r="D130">
            <v>18865.35</v>
          </cell>
        </row>
        <row r="132">
          <cell r="B131" t="str">
            <v>江川区</v>
          </cell>
          <cell r="C131">
            <v>63</v>
          </cell>
          <cell r="D131">
            <v>10553.02</v>
          </cell>
        </row>
        <row r="133">
          <cell r="B132" t="str">
            <v>通海县</v>
          </cell>
          <cell r="C132">
            <v>57</v>
          </cell>
          <cell r="D132">
            <v>6976.3345</v>
          </cell>
        </row>
        <row r="134">
          <cell r="B133" t="str">
            <v>新平县</v>
          </cell>
          <cell r="C133">
            <v>275</v>
          </cell>
          <cell r="D133">
            <v>85714.436</v>
          </cell>
        </row>
        <row r="135">
          <cell r="B134" t="str">
            <v>易门县</v>
          </cell>
          <cell r="C134">
            <v>45</v>
          </cell>
          <cell r="D134">
            <v>9041.891</v>
          </cell>
        </row>
        <row r="136">
          <cell r="B135" t="str">
            <v>元江县</v>
          </cell>
          <cell r="C135">
            <v>72</v>
          </cell>
          <cell r="D135">
            <v>19501.77</v>
          </cell>
        </row>
        <row r="137">
          <cell r="C136">
            <v>1141</v>
          </cell>
          <cell r="D136">
            <v>1808222.1338</v>
          </cell>
        </row>
        <row r="138">
          <cell r="B137" t="str">
            <v>大关县</v>
          </cell>
          <cell r="C137">
            <v>26</v>
          </cell>
          <cell r="D137">
            <v>73584.37</v>
          </cell>
        </row>
        <row r="139">
          <cell r="B138" t="str">
            <v>鲁甸县</v>
          </cell>
          <cell r="C138">
            <v>489</v>
          </cell>
          <cell r="D138">
            <v>535760.875</v>
          </cell>
        </row>
        <row r="140">
          <cell r="B139" t="str">
            <v>巧家县</v>
          </cell>
          <cell r="C139">
            <v>22</v>
          </cell>
          <cell r="D139">
            <v>64922</v>
          </cell>
        </row>
        <row r="141">
          <cell r="B140" t="str">
            <v>水富市</v>
          </cell>
          <cell r="C140">
            <v>62</v>
          </cell>
          <cell r="D140">
            <v>17860.5</v>
          </cell>
        </row>
        <row r="142">
          <cell r="B141" t="str">
            <v>绥江县</v>
          </cell>
          <cell r="C141">
            <v>40</v>
          </cell>
          <cell r="D141">
            <v>37924.362</v>
          </cell>
        </row>
        <row r="143">
          <cell r="B142" t="str">
            <v>威信县</v>
          </cell>
          <cell r="C142">
            <v>32</v>
          </cell>
          <cell r="D142">
            <v>35603.4</v>
          </cell>
        </row>
        <row r="144">
          <cell r="B143" t="str">
            <v>盐津县</v>
          </cell>
          <cell r="C143">
            <v>211</v>
          </cell>
          <cell r="D143">
            <v>86776.1</v>
          </cell>
        </row>
        <row r="145">
          <cell r="B144" t="str">
            <v>彝良县</v>
          </cell>
          <cell r="C144">
            <v>61</v>
          </cell>
          <cell r="D144">
            <v>85863.256</v>
          </cell>
        </row>
        <row r="146">
          <cell r="B145" t="str">
            <v>永善县</v>
          </cell>
          <cell r="C145">
            <v>57</v>
          </cell>
          <cell r="D145">
            <v>69176.605</v>
          </cell>
        </row>
        <row r="147">
          <cell r="B146" t="str">
            <v>昭阳区</v>
          </cell>
          <cell r="C146">
            <v>25</v>
          </cell>
          <cell r="D146">
            <v>77028.74</v>
          </cell>
        </row>
        <row r="148">
          <cell r="B147" t="str">
            <v>镇雄县</v>
          </cell>
          <cell r="C147">
            <v>116</v>
          </cell>
          <cell r="D147">
            <v>723721.9258</v>
          </cell>
        </row>
        <row r="149">
          <cell r="C148">
            <v>14511</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合计"/>
      <sheetName val="中央资金"/>
      <sheetName val="省级资金"/>
      <sheetName val="支出、整改"/>
    </sheetNames>
    <sheetDataSet>
      <sheetData sheetId="0">
        <row r="2">
          <cell r="G1">
            <v>2423421</v>
          </cell>
          <cell r="H1">
            <v>669082</v>
          </cell>
        </row>
        <row r="3">
          <cell r="B2" t="str">
            <v>地区</v>
          </cell>
          <cell r="C2" t="str">
            <v>原贫困县标示</v>
          </cell>
          <cell r="D2" t="str">
            <v>总计</v>
          </cell>
          <cell r="E2" t="str">
            <v>中央</v>
          </cell>
          <cell r="F2" t="str">
            <v>省级</v>
          </cell>
        </row>
        <row r="3">
          <cell r="I2" t="str">
            <v>贫困人口较多、贫困程度较深、脱贫难度较大的地区</v>
          </cell>
          <cell r="J2" t="str">
            <v>边境</v>
          </cell>
          <cell r="K2" t="str">
            <v>挂牌</v>
          </cell>
          <cell r="L2" t="str">
            <v>乡村振兴重点帮扶县</v>
          </cell>
        </row>
        <row r="4">
          <cell r="B3" t="str">
            <v>全省合计</v>
          </cell>
        </row>
        <row r="4">
          <cell r="D3">
            <v>2583217</v>
          </cell>
          <cell r="E3">
            <v>1783217</v>
          </cell>
          <cell r="F3">
            <v>800000</v>
          </cell>
        </row>
        <row r="4">
          <cell r="I3">
            <v>0</v>
          </cell>
        </row>
        <row r="5">
          <cell r="B4" t="str">
            <v>省本级</v>
          </cell>
        </row>
        <row r="5">
          <cell r="D4">
            <v>159796</v>
          </cell>
          <cell r="E4">
            <v>28878</v>
          </cell>
          <cell r="F4">
            <v>130918</v>
          </cell>
        </row>
        <row r="6">
          <cell r="B5" t="str">
            <v>州市本级</v>
          </cell>
        </row>
        <row r="6">
          <cell r="D5">
            <v>94975.6</v>
          </cell>
          <cell r="E5">
            <v>58938</v>
          </cell>
          <cell r="F5">
            <v>36037.6</v>
          </cell>
        </row>
        <row r="7">
          <cell r="B6" t="str">
            <v>41个县</v>
          </cell>
        </row>
        <row r="7">
          <cell r="D6">
            <v>203754.2</v>
          </cell>
          <cell r="E6">
            <v>135597</v>
          </cell>
          <cell r="F6">
            <v>68157.2</v>
          </cell>
        </row>
        <row r="8">
          <cell r="B7" t="str">
            <v>原88个贫困县合计</v>
          </cell>
        </row>
        <row r="8">
          <cell r="D7">
            <v>2124691.2</v>
          </cell>
          <cell r="E7">
            <v>1559804</v>
          </cell>
          <cell r="F7">
            <v>564887.2</v>
          </cell>
        </row>
        <row r="9">
          <cell r="B8" t="str">
            <v>昆明市合计</v>
          </cell>
        </row>
        <row r="9">
          <cell r="D8">
            <v>106057.6</v>
          </cell>
          <cell r="E8">
            <v>77928</v>
          </cell>
          <cell r="F8">
            <v>28129.6</v>
          </cell>
          <cell r="G8">
            <v>0.0437635887450014</v>
          </cell>
        </row>
        <row r="10">
          <cell r="B9" t="str">
            <v>昆明市本级</v>
          </cell>
        </row>
        <row r="10">
          <cell r="D9">
            <v>3315.6</v>
          </cell>
          <cell r="E9">
            <v>3245</v>
          </cell>
          <cell r="F9">
            <v>70.6</v>
          </cell>
        </row>
        <row r="11">
          <cell r="B10" t="str">
            <v>五华区</v>
          </cell>
          <cell r="C10" t="str">
            <v>非贫困县</v>
          </cell>
          <cell r="D10">
            <v>345</v>
          </cell>
          <cell r="E10">
            <v>223</v>
          </cell>
          <cell r="F10">
            <v>122</v>
          </cell>
        </row>
        <row r="12">
          <cell r="B11" t="str">
            <v>盘龙区</v>
          </cell>
          <cell r="C11" t="str">
            <v>非贫困县</v>
          </cell>
          <cell r="D11">
            <v>1874</v>
          </cell>
          <cell r="E11">
            <v>977</v>
          </cell>
          <cell r="F11">
            <v>897</v>
          </cell>
        </row>
        <row r="13">
          <cell r="B12" t="str">
            <v>官渡区</v>
          </cell>
          <cell r="C12" t="str">
            <v>非贫困县</v>
          </cell>
          <cell r="D12">
            <v>1075</v>
          </cell>
          <cell r="E12">
            <v>360</v>
          </cell>
          <cell r="F12">
            <v>715</v>
          </cell>
        </row>
        <row r="14">
          <cell r="B13" t="str">
            <v>西山区</v>
          </cell>
          <cell r="C13" t="str">
            <v>非贫困县</v>
          </cell>
          <cell r="D13">
            <v>626</v>
          </cell>
          <cell r="E13">
            <v>438</v>
          </cell>
          <cell r="F13">
            <v>188</v>
          </cell>
        </row>
        <row r="15">
          <cell r="B14" t="str">
            <v>东川区</v>
          </cell>
          <cell r="C14" t="str">
            <v>深度贫困</v>
          </cell>
          <cell r="D14">
            <v>38439</v>
          </cell>
          <cell r="E14">
            <v>28384</v>
          </cell>
          <cell r="F14">
            <v>10055</v>
          </cell>
        </row>
        <row r="15">
          <cell r="L14" t="str">
            <v>国家级</v>
          </cell>
        </row>
        <row r="16">
          <cell r="B15" t="str">
            <v>呈贡区</v>
          </cell>
          <cell r="C15" t="str">
            <v>非贫困县</v>
          </cell>
          <cell r="D15">
            <v>1042</v>
          </cell>
          <cell r="E15">
            <v>362</v>
          </cell>
          <cell r="F15">
            <v>680</v>
          </cell>
        </row>
        <row r="17">
          <cell r="B16" t="str">
            <v>晋宁区</v>
          </cell>
          <cell r="C16" t="str">
            <v>非贫困县</v>
          </cell>
          <cell r="D16">
            <v>2612</v>
          </cell>
          <cell r="E16">
            <v>2024</v>
          </cell>
          <cell r="F16">
            <v>588</v>
          </cell>
        </row>
        <row r="18">
          <cell r="B17" t="str">
            <v>富民县</v>
          </cell>
          <cell r="C17" t="str">
            <v>非贫困县</v>
          </cell>
          <cell r="D17">
            <v>3443</v>
          </cell>
          <cell r="E17">
            <v>2112</v>
          </cell>
          <cell r="F17">
            <v>1331</v>
          </cell>
        </row>
        <row r="19">
          <cell r="B18" t="str">
            <v>宜良县</v>
          </cell>
          <cell r="C18" t="str">
            <v>非贫困县</v>
          </cell>
          <cell r="D18">
            <v>2958</v>
          </cell>
          <cell r="E18">
            <v>2180</v>
          </cell>
          <cell r="F18">
            <v>778</v>
          </cell>
        </row>
        <row r="20">
          <cell r="B19" t="str">
            <v>石林县</v>
          </cell>
          <cell r="C19" t="str">
            <v>非贫困县</v>
          </cell>
          <cell r="D19">
            <v>2814</v>
          </cell>
          <cell r="E19">
            <v>1720</v>
          </cell>
          <cell r="F19">
            <v>1094</v>
          </cell>
        </row>
        <row r="21">
          <cell r="B20" t="str">
            <v>嵩明县</v>
          </cell>
          <cell r="C20" t="str">
            <v>非贫困县</v>
          </cell>
          <cell r="D20">
            <v>2223</v>
          </cell>
          <cell r="E20">
            <v>1594</v>
          </cell>
          <cell r="F20">
            <v>629</v>
          </cell>
        </row>
        <row r="22">
          <cell r="B21" t="str">
            <v>禄劝县</v>
          </cell>
          <cell r="C21" t="str">
            <v>贫困</v>
          </cell>
          <cell r="D21">
            <v>20319</v>
          </cell>
          <cell r="E21">
            <v>15045</v>
          </cell>
          <cell r="F21">
            <v>5274</v>
          </cell>
        </row>
        <row r="22">
          <cell r="L21" t="str">
            <v>省级</v>
          </cell>
        </row>
        <row r="23">
          <cell r="B22" t="str">
            <v>寻甸县</v>
          </cell>
          <cell r="C22" t="str">
            <v>贫困</v>
          </cell>
          <cell r="D22">
            <v>24107</v>
          </cell>
          <cell r="E22">
            <v>18583</v>
          </cell>
          <cell r="F22">
            <v>5524</v>
          </cell>
        </row>
        <row r="23">
          <cell r="L22" t="str">
            <v>省级</v>
          </cell>
        </row>
        <row r="24">
          <cell r="B23" t="str">
            <v>安宁市</v>
          </cell>
          <cell r="C23" t="str">
            <v>非贫困县</v>
          </cell>
          <cell r="D23">
            <v>865</v>
          </cell>
          <cell r="E23">
            <v>681</v>
          </cell>
          <cell r="F23">
            <v>184</v>
          </cell>
        </row>
        <row r="25">
          <cell r="B24" t="str">
            <v>昭通市合计</v>
          </cell>
        </row>
        <row r="25">
          <cell r="D24">
            <v>608850.2</v>
          </cell>
          <cell r="E24">
            <v>443771</v>
          </cell>
          <cell r="F24">
            <v>165079.2</v>
          </cell>
          <cell r="G24">
            <v>0.251235835622453</v>
          </cell>
        </row>
        <row r="26">
          <cell r="B25" t="str">
            <v>昭通市本级</v>
          </cell>
        </row>
        <row r="26">
          <cell r="D25">
            <v>53502</v>
          </cell>
          <cell r="E25">
            <v>24787</v>
          </cell>
          <cell r="F25">
            <v>28715</v>
          </cell>
        </row>
        <row r="27">
          <cell r="B26" t="str">
            <v>昭阳区</v>
          </cell>
          <cell r="C26" t="str">
            <v>深度贫困</v>
          </cell>
          <cell r="D26">
            <v>76320</v>
          </cell>
          <cell r="E26">
            <v>58083</v>
          </cell>
          <cell r="F26">
            <v>18237</v>
          </cell>
        </row>
        <row r="27">
          <cell r="I26" t="str">
            <v>昭通深度贫困</v>
          </cell>
        </row>
        <row r="27">
          <cell r="K26" t="str">
            <v>挂牌</v>
          </cell>
          <cell r="L26" t="str">
            <v>国家级</v>
          </cell>
        </row>
        <row r="28">
          <cell r="B27" t="str">
            <v>鲁甸县</v>
          </cell>
          <cell r="C27" t="str">
            <v>深度贫困</v>
          </cell>
          <cell r="D27">
            <v>51430</v>
          </cell>
          <cell r="E27">
            <v>38792</v>
          </cell>
          <cell r="F27">
            <v>12638</v>
          </cell>
        </row>
        <row r="28">
          <cell r="I27" t="str">
            <v>昭通深度贫困</v>
          </cell>
        </row>
        <row r="28">
          <cell r="L27" t="str">
            <v>国家级</v>
          </cell>
        </row>
        <row r="29">
          <cell r="B28" t="str">
            <v>巧家县</v>
          </cell>
          <cell r="C28" t="str">
            <v>深度贫困</v>
          </cell>
          <cell r="D28">
            <v>42653</v>
          </cell>
          <cell r="E28">
            <v>32711</v>
          </cell>
          <cell r="F28">
            <v>9942</v>
          </cell>
        </row>
        <row r="29">
          <cell r="I28" t="str">
            <v>昭通深度贫困</v>
          </cell>
        </row>
        <row r="29">
          <cell r="K28" t="str">
            <v>挂牌</v>
          </cell>
          <cell r="L28" t="str">
            <v>国家级</v>
          </cell>
        </row>
        <row r="30">
          <cell r="B29" t="str">
            <v>盐津县</v>
          </cell>
          <cell r="C29" t="str">
            <v>贫困</v>
          </cell>
          <cell r="D29">
            <v>37588</v>
          </cell>
          <cell r="E29">
            <v>28823</v>
          </cell>
          <cell r="F29">
            <v>8765</v>
          </cell>
        </row>
        <row r="30">
          <cell r="L29" t="str">
            <v>国家级</v>
          </cell>
        </row>
        <row r="31">
          <cell r="B30" t="str">
            <v>大关县</v>
          </cell>
          <cell r="C30" t="str">
            <v>深度贫困</v>
          </cell>
          <cell r="D30">
            <v>40346</v>
          </cell>
          <cell r="E30">
            <v>26885</v>
          </cell>
          <cell r="F30">
            <v>13461</v>
          </cell>
        </row>
        <row r="31">
          <cell r="I30" t="str">
            <v>昭通深度贫困</v>
          </cell>
        </row>
        <row r="31">
          <cell r="L30" t="str">
            <v>国家级</v>
          </cell>
        </row>
        <row r="32">
          <cell r="B31" t="str">
            <v>永善县</v>
          </cell>
          <cell r="C31" t="str">
            <v>深度贫困</v>
          </cell>
          <cell r="D31">
            <v>53219</v>
          </cell>
          <cell r="E31">
            <v>42561</v>
          </cell>
          <cell r="F31">
            <v>10658</v>
          </cell>
        </row>
        <row r="32">
          <cell r="I31" t="str">
            <v>昭通深度贫困</v>
          </cell>
        </row>
        <row r="32">
          <cell r="K31" t="str">
            <v>挂牌</v>
          </cell>
          <cell r="L31" t="str">
            <v>国家级</v>
          </cell>
        </row>
        <row r="33">
          <cell r="B32" t="str">
            <v>绥江县</v>
          </cell>
          <cell r="C32" t="str">
            <v>贫困</v>
          </cell>
          <cell r="D32">
            <v>16333</v>
          </cell>
          <cell r="E32">
            <v>12041</v>
          </cell>
          <cell r="F32">
            <v>4292</v>
          </cell>
        </row>
        <row r="33">
          <cell r="L32" t="str">
            <v>省级</v>
          </cell>
        </row>
        <row r="34">
          <cell r="B33" t="str">
            <v>镇雄县</v>
          </cell>
          <cell r="C33" t="str">
            <v>深度贫困</v>
          </cell>
          <cell r="D33">
            <v>147616</v>
          </cell>
          <cell r="E33">
            <v>109224</v>
          </cell>
          <cell r="F33">
            <v>38392</v>
          </cell>
        </row>
        <row r="34">
          <cell r="I33" t="str">
            <v>昭通深度贫困</v>
          </cell>
        </row>
        <row r="34">
          <cell r="K33" t="str">
            <v>中央挂牌</v>
          </cell>
          <cell r="L33" t="str">
            <v>国家级</v>
          </cell>
        </row>
        <row r="35">
          <cell r="B34" t="str">
            <v>彝良县</v>
          </cell>
          <cell r="C34" t="str">
            <v>深度贫困</v>
          </cell>
          <cell r="D34">
            <v>68349</v>
          </cell>
          <cell r="E34">
            <v>53555</v>
          </cell>
          <cell r="F34">
            <v>14794</v>
          </cell>
        </row>
        <row r="35">
          <cell r="I34" t="str">
            <v>昭通深度贫困</v>
          </cell>
        </row>
        <row r="35">
          <cell r="K34" t="str">
            <v>挂牌</v>
          </cell>
          <cell r="L34" t="str">
            <v>国家级</v>
          </cell>
        </row>
        <row r="36">
          <cell r="B35" t="str">
            <v>威信县</v>
          </cell>
          <cell r="C35" t="str">
            <v>贫困</v>
          </cell>
          <cell r="D35">
            <v>17535</v>
          </cell>
          <cell r="E35">
            <v>13621</v>
          </cell>
          <cell r="F35">
            <v>3914</v>
          </cell>
        </row>
        <row r="36">
          <cell r="L35" t="str">
            <v>省级</v>
          </cell>
        </row>
        <row r="37">
          <cell r="B36" t="str">
            <v>水富市</v>
          </cell>
          <cell r="C36" t="str">
            <v>非贫困县</v>
          </cell>
          <cell r="D36">
            <v>3959.2</v>
          </cell>
          <cell r="E36">
            <v>2688</v>
          </cell>
          <cell r="F36">
            <v>1271.2</v>
          </cell>
        </row>
        <row r="38">
          <cell r="B37" t="str">
            <v>曲靖市合计</v>
          </cell>
        </row>
        <row r="38">
          <cell r="D37">
            <v>253651</v>
          </cell>
          <cell r="E37">
            <v>184419</v>
          </cell>
          <cell r="F37">
            <v>69232</v>
          </cell>
          <cell r="G37">
            <v>0.104666502436019</v>
          </cell>
        </row>
        <row r="39">
          <cell r="B38" t="str">
            <v>曲靖市本级</v>
          </cell>
        </row>
        <row r="39">
          <cell r="D38">
            <v>9807</v>
          </cell>
          <cell r="E38">
            <v>9802</v>
          </cell>
          <cell r="F38">
            <v>5</v>
          </cell>
        </row>
        <row r="40">
          <cell r="B39" t="str">
            <v>麒麟区</v>
          </cell>
          <cell r="C39" t="str">
            <v>非贫困县</v>
          </cell>
          <cell r="D39">
            <v>4029</v>
          </cell>
          <cell r="E39">
            <v>2826</v>
          </cell>
          <cell r="F39">
            <v>1203</v>
          </cell>
        </row>
        <row r="41">
          <cell r="B40" t="str">
            <v>马龙区</v>
          </cell>
          <cell r="C40" t="str">
            <v>非贫困县</v>
          </cell>
          <cell r="D40">
            <v>4658</v>
          </cell>
          <cell r="E40">
            <v>3132</v>
          </cell>
          <cell r="F40">
            <v>1526</v>
          </cell>
        </row>
        <row r="42">
          <cell r="B41" t="str">
            <v>陆良县</v>
          </cell>
          <cell r="C41" t="str">
            <v>非贫困县</v>
          </cell>
          <cell r="D41">
            <v>9359</v>
          </cell>
          <cell r="E41">
            <v>6348</v>
          </cell>
          <cell r="F41">
            <v>3011</v>
          </cell>
        </row>
        <row r="43">
          <cell r="B42" t="str">
            <v>师宗县</v>
          </cell>
          <cell r="C42" t="str">
            <v>贫困</v>
          </cell>
          <cell r="D42">
            <v>15847</v>
          </cell>
          <cell r="E42">
            <v>11150</v>
          </cell>
          <cell r="F42">
            <v>4697</v>
          </cell>
        </row>
        <row r="44">
          <cell r="B43" t="str">
            <v>罗平县</v>
          </cell>
          <cell r="C43" t="str">
            <v>贫困</v>
          </cell>
          <cell r="D43">
            <v>10195</v>
          </cell>
          <cell r="E43">
            <v>7270</v>
          </cell>
          <cell r="F43">
            <v>2925</v>
          </cell>
        </row>
        <row r="45">
          <cell r="B44" t="str">
            <v>富源县</v>
          </cell>
          <cell r="C44" t="str">
            <v>贫困</v>
          </cell>
          <cell r="D44">
            <v>24577</v>
          </cell>
          <cell r="E44">
            <v>16774</v>
          </cell>
          <cell r="F44">
            <v>7803</v>
          </cell>
        </row>
        <row r="45">
          <cell r="L44" t="str">
            <v>省级</v>
          </cell>
        </row>
        <row r="46">
          <cell r="B45" t="str">
            <v>会泽县</v>
          </cell>
          <cell r="C45" t="str">
            <v>深度贫困</v>
          </cell>
          <cell r="D45">
            <v>112955</v>
          </cell>
          <cell r="E45">
            <v>81613</v>
          </cell>
          <cell r="F45">
            <v>31342</v>
          </cell>
        </row>
        <row r="46">
          <cell r="I45" t="str">
            <v>曲靖北部深度贫困</v>
          </cell>
        </row>
        <row r="46">
          <cell r="K45" t="str">
            <v>中央挂牌</v>
          </cell>
          <cell r="L45" t="str">
            <v>国家级</v>
          </cell>
        </row>
        <row r="47">
          <cell r="B46" t="str">
            <v>沾益区</v>
          </cell>
          <cell r="C46" t="str">
            <v>非贫困县</v>
          </cell>
          <cell r="D46">
            <v>6503</v>
          </cell>
          <cell r="E46">
            <v>4090</v>
          </cell>
          <cell r="F46">
            <v>2413</v>
          </cell>
        </row>
        <row r="48">
          <cell r="B47" t="str">
            <v>宣威市</v>
          </cell>
          <cell r="C47" t="str">
            <v>深度贫困</v>
          </cell>
          <cell r="D47">
            <v>55721</v>
          </cell>
          <cell r="E47">
            <v>41414</v>
          </cell>
          <cell r="F47">
            <v>14307</v>
          </cell>
        </row>
        <row r="48">
          <cell r="I47" t="str">
            <v>曲靖北部深度贫困</v>
          </cell>
        </row>
        <row r="48">
          <cell r="K47" t="str">
            <v>挂牌</v>
          </cell>
          <cell r="L47" t="str">
            <v>国家级</v>
          </cell>
        </row>
        <row r="49">
          <cell r="B48" t="str">
            <v>玉溪市合计</v>
          </cell>
        </row>
        <row r="49">
          <cell r="D48">
            <v>33207</v>
          </cell>
          <cell r="E48">
            <v>24615</v>
          </cell>
          <cell r="F48">
            <v>8592</v>
          </cell>
          <cell r="G48">
            <v>0.013702530431155</v>
          </cell>
        </row>
        <row r="50">
          <cell r="B49" t="str">
            <v>玉溪市本级</v>
          </cell>
        </row>
        <row r="50">
          <cell r="D49">
            <v>65</v>
          </cell>
          <cell r="E49">
            <v>55</v>
          </cell>
          <cell r="F49">
            <v>10</v>
          </cell>
        </row>
        <row r="51">
          <cell r="B50" t="str">
            <v>红塔区</v>
          </cell>
          <cell r="C50" t="str">
            <v>非贫困县</v>
          </cell>
          <cell r="D50">
            <v>2615</v>
          </cell>
          <cell r="E50">
            <v>1992</v>
          </cell>
          <cell r="F50">
            <v>623</v>
          </cell>
        </row>
        <row r="52">
          <cell r="B51" t="str">
            <v>江川区</v>
          </cell>
          <cell r="C51" t="str">
            <v>非贫困县</v>
          </cell>
          <cell r="D51">
            <v>2621</v>
          </cell>
          <cell r="E51">
            <v>2096</v>
          </cell>
          <cell r="F51">
            <v>525</v>
          </cell>
        </row>
        <row r="53">
          <cell r="B52" t="str">
            <v>澄江市</v>
          </cell>
          <cell r="C52" t="str">
            <v>非贫困县</v>
          </cell>
          <cell r="D52">
            <v>3612</v>
          </cell>
          <cell r="E52">
            <v>2606</v>
          </cell>
          <cell r="F52">
            <v>1006</v>
          </cell>
        </row>
        <row r="54">
          <cell r="B53" t="str">
            <v>通海县</v>
          </cell>
          <cell r="C53" t="str">
            <v>非贫困县</v>
          </cell>
          <cell r="D53">
            <v>2868</v>
          </cell>
          <cell r="E53">
            <v>1889</v>
          </cell>
          <cell r="F53">
            <v>979</v>
          </cell>
        </row>
        <row r="55">
          <cell r="B54" t="str">
            <v>华宁县</v>
          </cell>
          <cell r="C54" t="str">
            <v>非贫困县</v>
          </cell>
          <cell r="D54">
            <v>3877</v>
          </cell>
          <cell r="E54">
            <v>2928</v>
          </cell>
          <cell r="F54">
            <v>949</v>
          </cell>
        </row>
        <row r="56">
          <cell r="B55" t="str">
            <v>易门县</v>
          </cell>
          <cell r="C55" t="str">
            <v>非贫困县</v>
          </cell>
          <cell r="D55">
            <v>3399</v>
          </cell>
          <cell r="E55">
            <v>2926</v>
          </cell>
          <cell r="F55">
            <v>473</v>
          </cell>
        </row>
        <row r="57">
          <cell r="B56" t="str">
            <v>峨山县</v>
          </cell>
          <cell r="C56" t="str">
            <v>非贫困县</v>
          </cell>
          <cell r="D56">
            <v>4672</v>
          </cell>
          <cell r="E56">
            <v>3354</v>
          </cell>
          <cell r="F56">
            <v>1318</v>
          </cell>
        </row>
        <row r="58">
          <cell r="B57" t="str">
            <v>新平县</v>
          </cell>
          <cell r="C57" t="str">
            <v>非贫困县</v>
          </cell>
          <cell r="D57">
            <v>4196</v>
          </cell>
          <cell r="E57">
            <v>2919</v>
          </cell>
          <cell r="F57">
            <v>1277</v>
          </cell>
        </row>
        <row r="59">
          <cell r="B58" t="str">
            <v>元江县</v>
          </cell>
          <cell r="C58" t="str">
            <v>非贫困县</v>
          </cell>
          <cell r="D58">
            <v>5282</v>
          </cell>
          <cell r="E58">
            <v>3850</v>
          </cell>
          <cell r="F58">
            <v>1432</v>
          </cell>
        </row>
        <row r="60">
          <cell r="B59" t="str">
            <v>红河州合计</v>
          </cell>
        </row>
        <row r="60">
          <cell r="D59">
            <v>231228</v>
          </cell>
          <cell r="E59">
            <v>161699</v>
          </cell>
          <cell r="F59">
            <v>69529</v>
          </cell>
          <cell r="G59">
            <v>0.0954138798004969</v>
          </cell>
        </row>
        <row r="61">
          <cell r="B60" t="str">
            <v>红河州本级</v>
          </cell>
        </row>
        <row r="61">
          <cell r="D60">
            <v>2201</v>
          </cell>
          <cell r="E60">
            <v>2171</v>
          </cell>
          <cell r="F60">
            <v>30</v>
          </cell>
        </row>
        <row r="62">
          <cell r="B61" t="str">
            <v>个旧市</v>
          </cell>
          <cell r="C61" t="str">
            <v>非贫困县</v>
          </cell>
          <cell r="D61">
            <v>7391</v>
          </cell>
          <cell r="E61">
            <v>3472</v>
          </cell>
          <cell r="F61">
            <v>3919</v>
          </cell>
        </row>
        <row r="63">
          <cell r="B62" t="str">
            <v>开远市</v>
          </cell>
          <cell r="C62" t="str">
            <v>非贫困县</v>
          </cell>
          <cell r="D62">
            <v>9175</v>
          </cell>
          <cell r="E62">
            <v>3701</v>
          </cell>
          <cell r="F62">
            <v>5474</v>
          </cell>
        </row>
        <row r="64">
          <cell r="B63" t="str">
            <v>蒙自市</v>
          </cell>
          <cell r="C63" t="str">
            <v>非贫困县</v>
          </cell>
          <cell r="D63">
            <v>9951</v>
          </cell>
          <cell r="E63">
            <v>7502</v>
          </cell>
          <cell r="F63">
            <v>2449</v>
          </cell>
        </row>
        <row r="65">
          <cell r="B64" t="str">
            <v>屏边县</v>
          </cell>
          <cell r="C64" t="str">
            <v>贫困</v>
          </cell>
          <cell r="D64">
            <v>16743</v>
          </cell>
          <cell r="E64">
            <v>12496</v>
          </cell>
          <cell r="F64">
            <v>4247</v>
          </cell>
        </row>
        <row r="65">
          <cell r="I64" t="str">
            <v>红河南部山区深度贫困</v>
          </cell>
        </row>
        <row r="65">
          <cell r="K64" t="str">
            <v>中央挂牌</v>
          </cell>
          <cell r="L64" t="str">
            <v>省级</v>
          </cell>
        </row>
        <row r="66">
          <cell r="B65" t="str">
            <v>建水县</v>
          </cell>
          <cell r="C65" t="str">
            <v>非贫困县</v>
          </cell>
          <cell r="D65">
            <v>9443</v>
          </cell>
          <cell r="E65">
            <v>6811</v>
          </cell>
          <cell r="F65">
            <v>2632</v>
          </cell>
        </row>
        <row r="67">
          <cell r="B66" t="str">
            <v>石屏县</v>
          </cell>
          <cell r="C66" t="str">
            <v>贫困</v>
          </cell>
          <cell r="D66">
            <v>8266</v>
          </cell>
          <cell r="E66">
            <v>5818</v>
          </cell>
          <cell r="F66">
            <v>2448</v>
          </cell>
        </row>
        <row r="68">
          <cell r="B67" t="str">
            <v>弥勒市</v>
          </cell>
          <cell r="C67" t="str">
            <v>非贫困县</v>
          </cell>
          <cell r="D67">
            <v>10212</v>
          </cell>
          <cell r="E67">
            <v>6952</v>
          </cell>
          <cell r="F67">
            <v>3260</v>
          </cell>
        </row>
        <row r="69">
          <cell r="B68" t="str">
            <v>泸西县</v>
          </cell>
          <cell r="C68" t="str">
            <v>贫困</v>
          </cell>
          <cell r="D68">
            <v>10492</v>
          </cell>
          <cell r="E68">
            <v>8419</v>
          </cell>
          <cell r="F68">
            <v>2073</v>
          </cell>
        </row>
        <row r="70">
          <cell r="B69" t="str">
            <v>元阳县</v>
          </cell>
          <cell r="C69" t="str">
            <v>深度贫困</v>
          </cell>
          <cell r="D69">
            <v>46814</v>
          </cell>
          <cell r="E69">
            <v>32353</v>
          </cell>
          <cell r="F69">
            <v>14461</v>
          </cell>
        </row>
        <row r="70">
          <cell r="I69" t="str">
            <v>红河南部山区深度贫困</v>
          </cell>
        </row>
        <row r="70">
          <cell r="K69" t="str">
            <v>挂牌</v>
          </cell>
          <cell r="L69" t="str">
            <v>国家级</v>
          </cell>
        </row>
        <row r="71">
          <cell r="B70" t="str">
            <v>红河县</v>
          </cell>
          <cell r="C70" t="str">
            <v>深度贫困</v>
          </cell>
          <cell r="D70">
            <v>34366</v>
          </cell>
          <cell r="E70">
            <v>24632</v>
          </cell>
          <cell r="F70">
            <v>9734</v>
          </cell>
        </row>
        <row r="71">
          <cell r="I70" t="str">
            <v>红河南部山区深度贫困</v>
          </cell>
        </row>
        <row r="71">
          <cell r="L70" t="str">
            <v>国家级</v>
          </cell>
        </row>
        <row r="72">
          <cell r="B71" t="str">
            <v>金平县</v>
          </cell>
          <cell r="C71" t="str">
            <v>深度贫困</v>
          </cell>
          <cell r="D71">
            <v>34529</v>
          </cell>
          <cell r="E71">
            <v>24161</v>
          </cell>
          <cell r="F71">
            <v>10368</v>
          </cell>
        </row>
        <row r="72">
          <cell r="I71" t="str">
            <v>红河南部山区深度贫困</v>
          </cell>
          <cell r="J71" t="str">
            <v>边境县</v>
          </cell>
        </row>
        <row r="72">
          <cell r="L71" t="str">
            <v>国家级</v>
          </cell>
        </row>
        <row r="73">
          <cell r="B72" t="str">
            <v>绿春县</v>
          </cell>
          <cell r="C72" t="str">
            <v>深度贫困</v>
          </cell>
          <cell r="D72">
            <v>25984</v>
          </cell>
          <cell r="E72">
            <v>19655</v>
          </cell>
          <cell r="F72">
            <v>6329</v>
          </cell>
        </row>
        <row r="73">
          <cell r="I72" t="str">
            <v>红河南部山区深度贫困</v>
          </cell>
          <cell r="J72" t="str">
            <v>边境县</v>
          </cell>
        </row>
        <row r="73">
          <cell r="L72" t="str">
            <v>国家级</v>
          </cell>
        </row>
        <row r="74">
          <cell r="B73" t="str">
            <v>河口县</v>
          </cell>
          <cell r="C73" t="str">
            <v>非贫困县</v>
          </cell>
          <cell r="D73">
            <v>5661</v>
          </cell>
          <cell r="E73">
            <v>3556</v>
          </cell>
          <cell r="F73">
            <v>2105</v>
          </cell>
        </row>
        <row r="74">
          <cell r="J73" t="str">
            <v>边境县</v>
          </cell>
        </row>
        <row r="75">
          <cell r="B74" t="str">
            <v>文山州合计</v>
          </cell>
        </row>
        <row r="75">
          <cell r="D74">
            <v>173077</v>
          </cell>
          <cell r="E74">
            <v>123784</v>
          </cell>
          <cell r="F74">
            <v>49293</v>
          </cell>
          <cell r="G74">
            <v>0.0714184617530342</v>
          </cell>
        </row>
        <row r="76">
          <cell r="B75" t="str">
            <v>文山州本级</v>
          </cell>
        </row>
        <row r="76">
          <cell r="D75">
            <v>6218</v>
          </cell>
          <cell r="E75">
            <v>1938</v>
          </cell>
          <cell r="F75">
            <v>4280</v>
          </cell>
        </row>
        <row r="76">
          <cell r="H75">
            <v>838.388878124395</v>
          </cell>
        </row>
        <row r="77">
          <cell r="B76" t="str">
            <v>文山市</v>
          </cell>
          <cell r="C76" t="str">
            <v>贫困</v>
          </cell>
          <cell r="D76">
            <v>12545</v>
          </cell>
          <cell r="E76">
            <v>9318</v>
          </cell>
          <cell r="F76">
            <v>3227</v>
          </cell>
        </row>
        <row r="78">
          <cell r="B77" t="str">
            <v>砚山县</v>
          </cell>
          <cell r="C77" t="str">
            <v>贫困</v>
          </cell>
          <cell r="D77">
            <v>12604</v>
          </cell>
          <cell r="E77">
            <v>9327</v>
          </cell>
          <cell r="F77">
            <v>3277</v>
          </cell>
        </row>
        <row r="79">
          <cell r="B78" t="str">
            <v>西畴县</v>
          </cell>
          <cell r="C78" t="str">
            <v>贫困</v>
          </cell>
          <cell r="D78">
            <v>11901</v>
          </cell>
          <cell r="E78">
            <v>8592</v>
          </cell>
          <cell r="F78">
            <v>3309</v>
          </cell>
        </row>
        <row r="79">
          <cell r="L78" t="str">
            <v>省级</v>
          </cell>
        </row>
        <row r="80">
          <cell r="B79" t="str">
            <v>麻栗坡县</v>
          </cell>
          <cell r="C79" t="str">
            <v>贫困</v>
          </cell>
          <cell r="D79">
            <v>15607</v>
          </cell>
          <cell r="E79">
            <v>11195</v>
          </cell>
          <cell r="F79">
            <v>4412</v>
          </cell>
        </row>
        <row r="80">
          <cell r="J79" t="str">
            <v>边境县</v>
          </cell>
        </row>
        <row r="80">
          <cell r="L79" t="str">
            <v>省级</v>
          </cell>
        </row>
        <row r="81">
          <cell r="B80" t="str">
            <v>马关县</v>
          </cell>
          <cell r="C80" t="str">
            <v>深度贫困</v>
          </cell>
          <cell r="D80">
            <v>32214</v>
          </cell>
          <cell r="E80">
            <v>23496</v>
          </cell>
          <cell r="F80">
            <v>8718</v>
          </cell>
        </row>
        <row r="81">
          <cell r="I80" t="str">
            <v>文山石漠化深度贫困</v>
          </cell>
          <cell r="J80" t="str">
            <v>边境县</v>
          </cell>
        </row>
        <row r="81">
          <cell r="L80" t="str">
            <v>国家级</v>
          </cell>
        </row>
        <row r="82">
          <cell r="B81" t="str">
            <v>丘北县</v>
          </cell>
          <cell r="C81" t="str">
            <v>贫困</v>
          </cell>
          <cell r="D81">
            <v>17634</v>
          </cell>
          <cell r="E81">
            <v>13305</v>
          </cell>
          <cell r="F81">
            <v>4329</v>
          </cell>
        </row>
        <row r="82">
          <cell r="K81" t="str">
            <v>挂牌</v>
          </cell>
          <cell r="L81" t="str">
            <v>省级</v>
          </cell>
        </row>
        <row r="83">
          <cell r="B82" t="str">
            <v>广南县</v>
          </cell>
          <cell r="C82" t="str">
            <v>深度贫困</v>
          </cell>
          <cell r="D82">
            <v>47163</v>
          </cell>
          <cell r="E82">
            <v>34020</v>
          </cell>
          <cell r="F82">
            <v>13143</v>
          </cell>
        </row>
        <row r="83">
          <cell r="I82" t="str">
            <v>文山石漠化深度贫困</v>
          </cell>
        </row>
        <row r="83">
          <cell r="K82" t="str">
            <v>中央挂牌</v>
          </cell>
          <cell r="L82" t="str">
            <v>国家级</v>
          </cell>
        </row>
        <row r="84">
          <cell r="B83" t="str">
            <v>富宁县</v>
          </cell>
          <cell r="C83" t="str">
            <v>贫困</v>
          </cell>
          <cell r="D83">
            <v>17191</v>
          </cell>
          <cell r="E83">
            <v>12593</v>
          </cell>
          <cell r="F83">
            <v>4598</v>
          </cell>
        </row>
        <row r="84">
          <cell r="J83" t="str">
            <v>边境县</v>
          </cell>
        </row>
        <row r="84">
          <cell r="L83" t="str">
            <v>省级</v>
          </cell>
        </row>
        <row r="85">
          <cell r="B84" t="str">
            <v>普洱市合计</v>
          </cell>
        </row>
        <row r="85">
          <cell r="D84">
            <v>170339</v>
          </cell>
          <cell r="E84">
            <v>123496</v>
          </cell>
          <cell r="F84">
            <v>46843</v>
          </cell>
          <cell r="G84">
            <v>0.0702886539317766</v>
          </cell>
        </row>
        <row r="86">
          <cell r="B85" t="str">
            <v>普洱市本级</v>
          </cell>
        </row>
        <row r="86">
          <cell r="D85">
            <v>2166</v>
          </cell>
          <cell r="E85">
            <v>2126</v>
          </cell>
          <cell r="F85">
            <v>40</v>
          </cell>
        </row>
        <row r="87">
          <cell r="B86" t="str">
            <v>思茅区</v>
          </cell>
          <cell r="C86" t="str">
            <v>非贫困县</v>
          </cell>
          <cell r="D86">
            <v>5521</v>
          </cell>
          <cell r="E86">
            <v>3762</v>
          </cell>
          <cell r="F86">
            <v>1759</v>
          </cell>
        </row>
        <row r="88">
          <cell r="B87" t="str">
            <v>宁洱县</v>
          </cell>
          <cell r="C87" t="str">
            <v>贫困</v>
          </cell>
          <cell r="D87">
            <v>8772</v>
          </cell>
          <cell r="E87">
            <v>4964</v>
          </cell>
          <cell r="F87">
            <v>3808</v>
          </cell>
        </row>
        <row r="89">
          <cell r="B88" t="str">
            <v>墨江县</v>
          </cell>
          <cell r="C88" t="str">
            <v>贫困</v>
          </cell>
          <cell r="D88">
            <v>25195</v>
          </cell>
          <cell r="E88">
            <v>15079</v>
          </cell>
          <cell r="F88">
            <v>10116</v>
          </cell>
        </row>
        <row r="89">
          <cell r="I88" t="str">
            <v>普洱边境一线深度贫困</v>
          </cell>
        </row>
        <row r="89">
          <cell r="L88" t="str">
            <v>省级</v>
          </cell>
        </row>
        <row r="90">
          <cell r="B89" t="str">
            <v>景东县</v>
          </cell>
          <cell r="C89" t="str">
            <v>贫困</v>
          </cell>
          <cell r="D89">
            <v>19154</v>
          </cell>
          <cell r="E89">
            <v>13622</v>
          </cell>
          <cell r="F89">
            <v>5532</v>
          </cell>
        </row>
        <row r="90">
          <cell r="L89" t="str">
            <v>省级</v>
          </cell>
        </row>
        <row r="91">
          <cell r="B90" t="str">
            <v>景谷县</v>
          </cell>
          <cell r="C90" t="str">
            <v>贫困</v>
          </cell>
          <cell r="D90">
            <v>13339</v>
          </cell>
          <cell r="E90">
            <v>9577</v>
          </cell>
          <cell r="F90">
            <v>3762</v>
          </cell>
        </row>
        <row r="92">
          <cell r="B91" t="str">
            <v>镇沅县</v>
          </cell>
          <cell r="C91" t="str">
            <v>贫困</v>
          </cell>
          <cell r="D91">
            <v>8986</v>
          </cell>
          <cell r="E91">
            <v>7473</v>
          </cell>
          <cell r="F91">
            <v>1513</v>
          </cell>
        </row>
        <row r="93">
          <cell r="B92" t="str">
            <v>江城县</v>
          </cell>
          <cell r="C92" t="str">
            <v>深度贫困</v>
          </cell>
          <cell r="D92">
            <v>13162</v>
          </cell>
          <cell r="E92">
            <v>9497</v>
          </cell>
          <cell r="F92">
            <v>3665</v>
          </cell>
        </row>
        <row r="93">
          <cell r="J92" t="str">
            <v>边境县</v>
          </cell>
        </row>
        <row r="93">
          <cell r="L92" t="str">
            <v>省级</v>
          </cell>
        </row>
        <row r="94">
          <cell r="B93" t="str">
            <v>孟连县</v>
          </cell>
          <cell r="C93" t="str">
            <v>贫困</v>
          </cell>
          <cell r="D93">
            <v>9980</v>
          </cell>
          <cell r="E93">
            <v>7543</v>
          </cell>
          <cell r="F93">
            <v>2437</v>
          </cell>
        </row>
        <row r="94">
          <cell r="J93" t="str">
            <v>边境县</v>
          </cell>
        </row>
        <row r="94">
          <cell r="L93" t="str">
            <v>省级</v>
          </cell>
        </row>
        <row r="95">
          <cell r="B94" t="str">
            <v>澜沧县</v>
          </cell>
          <cell r="C94" t="str">
            <v>深度贫困</v>
          </cell>
          <cell r="D94">
            <v>52559</v>
          </cell>
          <cell r="E94">
            <v>41969</v>
          </cell>
          <cell r="F94">
            <v>10590</v>
          </cell>
        </row>
        <row r="95">
          <cell r="I94" t="str">
            <v>普洱边境一线深度贫困</v>
          </cell>
          <cell r="J94" t="str">
            <v>边境县</v>
          </cell>
          <cell r="K94" t="str">
            <v>中央挂牌</v>
          </cell>
          <cell r="L94" t="str">
            <v>国家级</v>
          </cell>
        </row>
        <row r="96">
          <cell r="B95" t="str">
            <v>西盟县</v>
          </cell>
          <cell r="C95" t="str">
            <v>贫困</v>
          </cell>
          <cell r="D95">
            <v>11505</v>
          </cell>
          <cell r="E95">
            <v>7884</v>
          </cell>
          <cell r="F95">
            <v>3621</v>
          </cell>
        </row>
        <row r="96">
          <cell r="J95" t="str">
            <v>边境县</v>
          </cell>
        </row>
        <row r="96">
          <cell r="L95" t="str">
            <v>省级</v>
          </cell>
        </row>
        <row r="97">
          <cell r="B96" t="str">
            <v>西双版纳州合计</v>
          </cell>
        </row>
        <row r="97">
          <cell r="D96">
            <v>22301</v>
          </cell>
          <cell r="E96">
            <v>14589</v>
          </cell>
          <cell r="F96">
            <v>7712</v>
          </cell>
          <cell r="G96">
            <v>0.00920228057774526</v>
          </cell>
        </row>
        <row r="98">
          <cell r="B97" t="str">
            <v>西双版纳州本级</v>
          </cell>
        </row>
        <row r="98">
          <cell r="D97">
            <v>60</v>
          </cell>
          <cell r="E97">
            <v>0</v>
          </cell>
          <cell r="F97">
            <v>60</v>
          </cell>
        </row>
        <row r="99">
          <cell r="B98" t="str">
            <v>景洪市</v>
          </cell>
          <cell r="C98" t="str">
            <v>非贫困县</v>
          </cell>
          <cell r="D98">
            <v>6523</v>
          </cell>
          <cell r="E98">
            <v>3913</v>
          </cell>
          <cell r="F98">
            <v>2610</v>
          </cell>
        </row>
        <row r="99">
          <cell r="J98" t="str">
            <v>边境县</v>
          </cell>
        </row>
        <row r="100">
          <cell r="B99" t="str">
            <v>勐海县</v>
          </cell>
          <cell r="C99" t="str">
            <v>贫困</v>
          </cell>
          <cell r="D99">
            <v>7763</v>
          </cell>
          <cell r="E99">
            <v>5306</v>
          </cell>
          <cell r="F99">
            <v>2457</v>
          </cell>
        </row>
        <row r="100">
          <cell r="J99" t="str">
            <v>边境县</v>
          </cell>
        </row>
        <row r="101">
          <cell r="B100" t="str">
            <v>勐腊县</v>
          </cell>
          <cell r="C100" t="str">
            <v>贫困</v>
          </cell>
          <cell r="D100">
            <v>7955</v>
          </cell>
          <cell r="E100">
            <v>5370</v>
          </cell>
          <cell r="F100">
            <v>2585</v>
          </cell>
        </row>
        <row r="101">
          <cell r="J100" t="str">
            <v>边境县</v>
          </cell>
        </row>
        <row r="102">
          <cell r="B101" t="str">
            <v>楚雄州合计</v>
          </cell>
        </row>
        <row r="102">
          <cell r="D101">
            <v>110956</v>
          </cell>
          <cell r="E101">
            <v>80450</v>
          </cell>
          <cell r="F101">
            <v>30506</v>
          </cell>
          <cell r="G101">
            <v>0.0457848636287298</v>
          </cell>
        </row>
        <row r="103">
          <cell r="B102" t="str">
            <v>楚雄州本级</v>
          </cell>
        </row>
        <row r="103">
          <cell r="D102">
            <v>336</v>
          </cell>
          <cell r="E102">
            <v>326</v>
          </cell>
          <cell r="F102">
            <v>10</v>
          </cell>
        </row>
        <row r="104">
          <cell r="B103" t="str">
            <v>楚雄市</v>
          </cell>
          <cell r="C103" t="str">
            <v>非贫困县</v>
          </cell>
          <cell r="D103">
            <v>9410</v>
          </cell>
          <cell r="E103">
            <v>6754</v>
          </cell>
          <cell r="F103">
            <v>2656</v>
          </cell>
        </row>
        <row r="105">
          <cell r="B104" t="str">
            <v>双柏县</v>
          </cell>
          <cell r="C104" t="str">
            <v>贫困</v>
          </cell>
          <cell r="D104">
            <v>8960</v>
          </cell>
          <cell r="E104">
            <v>6677</v>
          </cell>
          <cell r="F104">
            <v>2283</v>
          </cell>
        </row>
        <row r="106">
          <cell r="B105" t="str">
            <v>牟定县</v>
          </cell>
          <cell r="C105" t="str">
            <v>贫困</v>
          </cell>
          <cell r="D105">
            <v>6430</v>
          </cell>
          <cell r="E105">
            <v>4933</v>
          </cell>
          <cell r="F105">
            <v>1497</v>
          </cell>
        </row>
        <row r="107">
          <cell r="B106" t="str">
            <v>南华县</v>
          </cell>
          <cell r="C106" t="str">
            <v>贫困</v>
          </cell>
          <cell r="D106">
            <v>11389</v>
          </cell>
          <cell r="E106">
            <v>7320</v>
          </cell>
          <cell r="F106">
            <v>4069</v>
          </cell>
        </row>
        <row r="108">
          <cell r="B107" t="str">
            <v>姚安县</v>
          </cell>
          <cell r="C107" t="str">
            <v>贫困</v>
          </cell>
          <cell r="D107">
            <v>8276</v>
          </cell>
          <cell r="E107">
            <v>5490</v>
          </cell>
          <cell r="F107">
            <v>2786</v>
          </cell>
        </row>
        <row r="109">
          <cell r="B108" t="str">
            <v>大姚县</v>
          </cell>
          <cell r="C108" t="str">
            <v>贫困</v>
          </cell>
          <cell r="D108">
            <v>10841</v>
          </cell>
          <cell r="E108">
            <v>8535</v>
          </cell>
          <cell r="F108">
            <v>2306</v>
          </cell>
        </row>
        <row r="110">
          <cell r="B109" t="str">
            <v>永仁县</v>
          </cell>
          <cell r="C109" t="str">
            <v>贫困</v>
          </cell>
          <cell r="D109">
            <v>8632</v>
          </cell>
          <cell r="E109">
            <v>6643</v>
          </cell>
          <cell r="F109">
            <v>1989</v>
          </cell>
        </row>
        <row r="111">
          <cell r="B110" t="str">
            <v>元谋县</v>
          </cell>
          <cell r="C110" t="str">
            <v>非贫困县</v>
          </cell>
          <cell r="D110">
            <v>9494</v>
          </cell>
          <cell r="E110">
            <v>5530</v>
          </cell>
          <cell r="F110">
            <v>3964</v>
          </cell>
        </row>
        <row r="112">
          <cell r="B111" t="str">
            <v>武定县</v>
          </cell>
          <cell r="C111" t="str">
            <v>深度贫困</v>
          </cell>
          <cell r="D111">
            <v>30166</v>
          </cell>
          <cell r="E111">
            <v>22948</v>
          </cell>
          <cell r="F111">
            <v>7218</v>
          </cell>
        </row>
        <row r="112">
          <cell r="L111" t="str">
            <v>国家级</v>
          </cell>
        </row>
        <row r="113">
          <cell r="B112" t="str">
            <v>禄丰市</v>
          </cell>
          <cell r="C112" t="str">
            <v>非贫困县</v>
          </cell>
          <cell r="D112">
            <v>7022</v>
          </cell>
          <cell r="E112">
            <v>5294</v>
          </cell>
          <cell r="F112">
            <v>1728</v>
          </cell>
        </row>
        <row r="114">
          <cell r="B113" t="str">
            <v>大理州合计</v>
          </cell>
        </row>
        <row r="114">
          <cell r="D113">
            <v>125323</v>
          </cell>
          <cell r="E113">
            <v>91767</v>
          </cell>
          <cell r="F113">
            <v>33556</v>
          </cell>
          <cell r="G113">
            <v>0.0517132598916986</v>
          </cell>
        </row>
        <row r="115">
          <cell r="B114" t="str">
            <v>大理州本级</v>
          </cell>
        </row>
        <row r="115">
          <cell r="D114">
            <v>3057</v>
          </cell>
          <cell r="E114">
            <v>475</v>
          </cell>
          <cell r="F114">
            <v>2582</v>
          </cell>
        </row>
        <row r="116">
          <cell r="B115" t="str">
            <v>大理市</v>
          </cell>
          <cell r="C115" t="str">
            <v>非贫困县</v>
          </cell>
          <cell r="D115">
            <v>3281</v>
          </cell>
          <cell r="E115">
            <v>2839</v>
          </cell>
          <cell r="F115">
            <v>442</v>
          </cell>
        </row>
        <row r="117">
          <cell r="B116" t="str">
            <v>漾濞县</v>
          </cell>
          <cell r="C116" t="str">
            <v>贫困</v>
          </cell>
          <cell r="D116">
            <v>5558</v>
          </cell>
          <cell r="E116">
            <v>4161</v>
          </cell>
          <cell r="F116">
            <v>1397</v>
          </cell>
        </row>
        <row r="118">
          <cell r="B117" t="str">
            <v>祥云县</v>
          </cell>
          <cell r="C117" t="str">
            <v>贫困</v>
          </cell>
          <cell r="D117">
            <v>7777</v>
          </cell>
          <cell r="E117">
            <v>5982</v>
          </cell>
          <cell r="F117">
            <v>1795</v>
          </cell>
        </row>
        <row r="119">
          <cell r="B118" t="str">
            <v>宾川县</v>
          </cell>
          <cell r="C118" t="str">
            <v>贫困</v>
          </cell>
          <cell r="D118">
            <v>9111</v>
          </cell>
          <cell r="E118">
            <v>6657</v>
          </cell>
          <cell r="F118">
            <v>2454</v>
          </cell>
        </row>
        <row r="120">
          <cell r="B119" t="str">
            <v>弥渡县</v>
          </cell>
          <cell r="C119" t="str">
            <v>贫困</v>
          </cell>
          <cell r="D119">
            <v>18428</v>
          </cell>
          <cell r="E119">
            <v>13803</v>
          </cell>
          <cell r="F119">
            <v>4625</v>
          </cell>
        </row>
        <row r="120">
          <cell r="L119" t="str">
            <v>省级</v>
          </cell>
        </row>
        <row r="121">
          <cell r="B120" t="str">
            <v>南涧县</v>
          </cell>
          <cell r="C120" t="str">
            <v>贫困</v>
          </cell>
          <cell r="D120">
            <v>14240</v>
          </cell>
          <cell r="E120">
            <v>10784</v>
          </cell>
          <cell r="F120">
            <v>3456</v>
          </cell>
        </row>
        <row r="121">
          <cell r="L120" t="str">
            <v>省级</v>
          </cell>
        </row>
        <row r="122">
          <cell r="B121" t="str">
            <v>巍山县</v>
          </cell>
          <cell r="C121" t="str">
            <v>贫困</v>
          </cell>
          <cell r="D121">
            <v>10914</v>
          </cell>
          <cell r="E121">
            <v>8358</v>
          </cell>
          <cell r="F121">
            <v>2556</v>
          </cell>
        </row>
        <row r="122">
          <cell r="L121" t="str">
            <v>省级</v>
          </cell>
        </row>
        <row r="123">
          <cell r="B122" t="str">
            <v>永平县</v>
          </cell>
          <cell r="C122" t="str">
            <v>贫困</v>
          </cell>
          <cell r="D122">
            <v>9122</v>
          </cell>
          <cell r="E122">
            <v>7033</v>
          </cell>
          <cell r="F122">
            <v>2089</v>
          </cell>
        </row>
        <row r="123">
          <cell r="L122" t="str">
            <v>省级</v>
          </cell>
        </row>
        <row r="124">
          <cell r="B123" t="str">
            <v>云龙县</v>
          </cell>
          <cell r="C123" t="str">
            <v>贫困</v>
          </cell>
          <cell r="D123">
            <v>14802</v>
          </cell>
          <cell r="E123">
            <v>10694</v>
          </cell>
          <cell r="F123">
            <v>4108</v>
          </cell>
        </row>
        <row r="124">
          <cell r="L123" t="str">
            <v>省级</v>
          </cell>
        </row>
        <row r="125">
          <cell r="B124" t="str">
            <v>洱源县</v>
          </cell>
          <cell r="C124" t="str">
            <v>贫困</v>
          </cell>
          <cell r="D124">
            <v>9391</v>
          </cell>
          <cell r="E124">
            <v>7030</v>
          </cell>
          <cell r="F124">
            <v>2361</v>
          </cell>
        </row>
        <row r="125">
          <cell r="L124" t="str">
            <v>省级</v>
          </cell>
        </row>
        <row r="126">
          <cell r="B125" t="str">
            <v>剑川县</v>
          </cell>
          <cell r="C125" t="str">
            <v>贫困</v>
          </cell>
          <cell r="D125">
            <v>10946</v>
          </cell>
          <cell r="E125">
            <v>7388</v>
          </cell>
          <cell r="F125">
            <v>3558</v>
          </cell>
        </row>
        <row r="126">
          <cell r="L125" t="str">
            <v>省级</v>
          </cell>
        </row>
        <row r="127">
          <cell r="B126" t="str">
            <v>鹤庆县</v>
          </cell>
          <cell r="C126" t="str">
            <v>贫困</v>
          </cell>
          <cell r="D126">
            <v>8696</v>
          </cell>
          <cell r="E126">
            <v>6563</v>
          </cell>
          <cell r="F126">
            <v>2133</v>
          </cell>
        </row>
        <row r="128">
          <cell r="B127" t="str">
            <v>保山市合计</v>
          </cell>
        </row>
        <row r="128">
          <cell r="D127">
            <v>90387.2</v>
          </cell>
          <cell r="E127">
            <v>67962</v>
          </cell>
          <cell r="F127">
            <v>22425.2</v>
          </cell>
          <cell r="G127">
            <v>0.0372973577434544</v>
          </cell>
        </row>
        <row r="129">
          <cell r="B128" t="str">
            <v>保山市本级</v>
          </cell>
        </row>
        <row r="129">
          <cell r="D128">
            <v>1423</v>
          </cell>
          <cell r="E128">
            <v>1388</v>
          </cell>
          <cell r="F128">
            <v>35</v>
          </cell>
        </row>
        <row r="130">
          <cell r="B129" t="str">
            <v>隆阳区</v>
          </cell>
          <cell r="C129" t="str">
            <v>贫困</v>
          </cell>
          <cell r="D129">
            <v>23635</v>
          </cell>
          <cell r="E129">
            <v>17974</v>
          </cell>
          <cell r="F129">
            <v>5661</v>
          </cell>
        </row>
        <row r="131">
          <cell r="B130" t="str">
            <v>施甸县</v>
          </cell>
          <cell r="C130" t="str">
            <v>贫困</v>
          </cell>
          <cell r="D130">
            <v>22378.2</v>
          </cell>
          <cell r="E130">
            <v>16577</v>
          </cell>
          <cell r="F130">
            <v>5801.2</v>
          </cell>
        </row>
        <row r="131">
          <cell r="L130" t="str">
            <v>省级</v>
          </cell>
        </row>
        <row r="132">
          <cell r="B131" t="str">
            <v>腾冲市</v>
          </cell>
          <cell r="C131" t="str">
            <v>非贫困县</v>
          </cell>
          <cell r="D131">
            <v>11772</v>
          </cell>
          <cell r="E131">
            <v>8745</v>
          </cell>
          <cell r="F131">
            <v>3027</v>
          </cell>
        </row>
        <row r="132">
          <cell r="J131" t="str">
            <v>边境县</v>
          </cell>
        </row>
        <row r="133">
          <cell r="B132" t="str">
            <v>龙陵县</v>
          </cell>
          <cell r="C132" t="str">
            <v>贫困</v>
          </cell>
          <cell r="D132">
            <v>13504</v>
          </cell>
          <cell r="E132">
            <v>10009</v>
          </cell>
          <cell r="F132">
            <v>3495</v>
          </cell>
        </row>
        <row r="133">
          <cell r="J132" t="str">
            <v>边境县</v>
          </cell>
        </row>
        <row r="134">
          <cell r="B133" t="str">
            <v>昌宁县</v>
          </cell>
          <cell r="C133" t="str">
            <v>贫困</v>
          </cell>
          <cell r="D133">
            <v>17675</v>
          </cell>
          <cell r="E133">
            <v>13269</v>
          </cell>
          <cell r="F133">
            <v>4406</v>
          </cell>
        </row>
        <row r="135">
          <cell r="B134" t="str">
            <v>德宏州合计</v>
          </cell>
        </row>
        <row r="135">
          <cell r="D134">
            <v>54566</v>
          </cell>
          <cell r="E134">
            <v>39434</v>
          </cell>
          <cell r="F134">
            <v>15132</v>
          </cell>
          <cell r="G134">
            <v>0.0225161043004909</v>
          </cell>
        </row>
        <row r="136">
          <cell r="B135" t="str">
            <v>德宏州本级</v>
          </cell>
        </row>
        <row r="136">
          <cell r="D135">
            <v>275</v>
          </cell>
          <cell r="E135">
            <v>245</v>
          </cell>
          <cell r="F135">
            <v>30</v>
          </cell>
        </row>
        <row r="137">
          <cell r="B136" t="str">
            <v>瑞丽市</v>
          </cell>
          <cell r="C136" t="str">
            <v>非贫困县</v>
          </cell>
          <cell r="D136">
            <v>6820</v>
          </cell>
          <cell r="E136">
            <v>3849</v>
          </cell>
          <cell r="F136">
            <v>2971</v>
          </cell>
        </row>
        <row r="137">
          <cell r="J136" t="str">
            <v>边境县</v>
          </cell>
        </row>
        <row r="138">
          <cell r="B137" t="str">
            <v>芒市</v>
          </cell>
          <cell r="C137" t="str">
            <v>贫困</v>
          </cell>
          <cell r="D137">
            <v>9060</v>
          </cell>
          <cell r="E137">
            <v>6640</v>
          </cell>
          <cell r="F137">
            <v>2420</v>
          </cell>
        </row>
        <row r="138">
          <cell r="J137" t="str">
            <v>边境县</v>
          </cell>
        </row>
        <row r="139">
          <cell r="B138" t="str">
            <v>梁河县</v>
          </cell>
          <cell r="C138" t="str">
            <v>贫困</v>
          </cell>
          <cell r="D138">
            <v>12510</v>
          </cell>
          <cell r="E138">
            <v>9586</v>
          </cell>
          <cell r="F138">
            <v>2924</v>
          </cell>
        </row>
        <row r="139">
          <cell r="L138" t="str">
            <v>省级</v>
          </cell>
        </row>
        <row r="140">
          <cell r="B139" t="str">
            <v>盈江县</v>
          </cell>
          <cell r="C139" t="str">
            <v>贫困</v>
          </cell>
          <cell r="D139">
            <v>14604</v>
          </cell>
          <cell r="E139">
            <v>10781</v>
          </cell>
          <cell r="F139">
            <v>3823</v>
          </cell>
        </row>
        <row r="140">
          <cell r="J139" t="str">
            <v>边境县</v>
          </cell>
        </row>
        <row r="140">
          <cell r="L139" t="str">
            <v>省级</v>
          </cell>
        </row>
        <row r="141">
          <cell r="B140" t="str">
            <v>陇川县</v>
          </cell>
          <cell r="C140" t="str">
            <v>贫困</v>
          </cell>
          <cell r="D140">
            <v>11297</v>
          </cell>
          <cell r="E140">
            <v>8333</v>
          </cell>
          <cell r="F140">
            <v>2964</v>
          </cell>
        </row>
        <row r="141">
          <cell r="J140" t="str">
            <v>边境县</v>
          </cell>
        </row>
        <row r="141">
          <cell r="L140" t="str">
            <v>省级</v>
          </cell>
        </row>
        <row r="142">
          <cell r="B141" t="str">
            <v>丽江市合计</v>
          </cell>
        </row>
        <row r="142">
          <cell r="D141">
            <v>66105</v>
          </cell>
          <cell r="E141">
            <v>47906</v>
          </cell>
          <cell r="F141">
            <v>18199</v>
          </cell>
          <cell r="G141">
            <v>0.0272775551585961</v>
          </cell>
        </row>
        <row r="143">
          <cell r="B142" t="str">
            <v>丽江市本级</v>
          </cell>
        </row>
        <row r="143">
          <cell r="D142">
            <v>1022</v>
          </cell>
          <cell r="E142">
            <v>992</v>
          </cell>
          <cell r="F142">
            <v>30</v>
          </cell>
        </row>
        <row r="144">
          <cell r="B143" t="str">
            <v>古城区</v>
          </cell>
          <cell r="C143" t="str">
            <v>非贫困县</v>
          </cell>
          <cell r="D143">
            <v>3620</v>
          </cell>
          <cell r="E143">
            <v>1961</v>
          </cell>
          <cell r="F143">
            <v>1659</v>
          </cell>
        </row>
        <row r="145">
          <cell r="B144" t="str">
            <v>玉龙县</v>
          </cell>
          <cell r="C144" t="str">
            <v>贫困</v>
          </cell>
          <cell r="D144">
            <v>7091</v>
          </cell>
          <cell r="E144">
            <v>4230</v>
          </cell>
          <cell r="F144">
            <v>2861</v>
          </cell>
        </row>
        <row r="146">
          <cell r="B145" t="str">
            <v>永胜县</v>
          </cell>
          <cell r="C145" t="str">
            <v>贫困</v>
          </cell>
          <cell r="D145">
            <v>16061</v>
          </cell>
          <cell r="E145">
            <v>12456</v>
          </cell>
          <cell r="F145">
            <v>3605</v>
          </cell>
        </row>
        <row r="146">
          <cell r="L145" t="str">
            <v>省级</v>
          </cell>
        </row>
        <row r="147">
          <cell r="B146" t="str">
            <v>华坪县</v>
          </cell>
          <cell r="C146" t="str">
            <v>非贫困县</v>
          </cell>
          <cell r="D146">
            <v>6931</v>
          </cell>
          <cell r="E146">
            <v>4641</v>
          </cell>
          <cell r="F146">
            <v>2290</v>
          </cell>
        </row>
        <row r="148">
          <cell r="B147" t="str">
            <v>宁蒗县</v>
          </cell>
          <cell r="C147" t="str">
            <v>深度贫困</v>
          </cell>
          <cell r="D147">
            <v>31380</v>
          </cell>
          <cell r="E147">
            <v>23626</v>
          </cell>
          <cell r="F147">
            <v>7754</v>
          </cell>
        </row>
        <row r="148">
          <cell r="K147" t="str">
            <v>中央挂牌</v>
          </cell>
          <cell r="L147" t="str">
            <v>国家级</v>
          </cell>
        </row>
        <row r="149">
          <cell r="B148" t="str">
            <v>怒江州合计</v>
          </cell>
        </row>
        <row r="149">
          <cell r="D148">
            <v>188364</v>
          </cell>
          <cell r="E148">
            <v>141688</v>
          </cell>
          <cell r="F148">
            <v>46676</v>
          </cell>
          <cell r="G148">
            <v>0.0777264866484197</v>
          </cell>
        </row>
        <row r="150">
          <cell r="B149" t="str">
            <v>怒江州本级</v>
          </cell>
        </row>
        <row r="150">
          <cell r="D149">
            <v>10971</v>
          </cell>
          <cell r="E149">
            <v>10906</v>
          </cell>
          <cell r="F149">
            <v>65</v>
          </cell>
        </row>
        <row r="151">
          <cell r="B150" t="str">
            <v>泸水市</v>
          </cell>
          <cell r="C150" t="str">
            <v>深度贫困</v>
          </cell>
          <cell r="D150">
            <v>49564</v>
          </cell>
          <cell r="E150">
            <v>36655</v>
          </cell>
          <cell r="F150">
            <v>12909</v>
          </cell>
        </row>
        <row r="151">
          <cell r="I150" t="str">
            <v>三区三州</v>
          </cell>
          <cell r="J150" t="str">
            <v>边境县</v>
          </cell>
          <cell r="K150" t="str">
            <v>中央挂牌</v>
          </cell>
          <cell r="L150" t="str">
            <v>国家级</v>
          </cell>
        </row>
        <row r="152">
          <cell r="B151" t="str">
            <v>福贡县</v>
          </cell>
          <cell r="C151" t="str">
            <v>深度贫困</v>
          </cell>
          <cell r="D151">
            <v>46219</v>
          </cell>
          <cell r="E151">
            <v>34046</v>
          </cell>
          <cell r="F151">
            <v>12173</v>
          </cell>
        </row>
        <row r="152">
          <cell r="I151" t="str">
            <v>三区三州</v>
          </cell>
          <cell r="J151" t="str">
            <v>边境县</v>
          </cell>
          <cell r="K151" t="str">
            <v>中央挂牌</v>
          </cell>
          <cell r="L151" t="str">
            <v>国家级</v>
          </cell>
        </row>
        <row r="153">
          <cell r="B152" t="str">
            <v>贡山县</v>
          </cell>
          <cell r="C152" t="str">
            <v>深度贫困</v>
          </cell>
          <cell r="D152">
            <v>25357</v>
          </cell>
          <cell r="E152">
            <v>18242</v>
          </cell>
          <cell r="F152">
            <v>7115</v>
          </cell>
        </row>
        <row r="153">
          <cell r="I152" t="str">
            <v>三区三州</v>
          </cell>
          <cell r="J152" t="str">
            <v>边境县</v>
          </cell>
        </row>
        <row r="153">
          <cell r="L152" t="str">
            <v>国家级</v>
          </cell>
        </row>
        <row r="154">
          <cell r="B153" t="str">
            <v>兰坪县</v>
          </cell>
          <cell r="C153" t="str">
            <v>深度贫困</v>
          </cell>
          <cell r="D153">
            <v>56253</v>
          </cell>
          <cell r="E153">
            <v>41839</v>
          </cell>
          <cell r="F153">
            <v>14414</v>
          </cell>
        </row>
        <row r="154">
          <cell r="I153" t="str">
            <v>三区三州</v>
          </cell>
        </row>
        <row r="154">
          <cell r="K153" t="str">
            <v>中央挂牌</v>
          </cell>
          <cell r="L153" t="str">
            <v>国家级</v>
          </cell>
        </row>
        <row r="155">
          <cell r="B154" t="str">
            <v>迪庆州合计</v>
          </cell>
        </row>
        <row r="155">
          <cell r="D154">
            <v>96748</v>
          </cell>
          <cell r="E154">
            <v>63466</v>
          </cell>
          <cell r="F154">
            <v>33282</v>
          </cell>
          <cell r="G154">
            <v>0.0399220770967983</v>
          </cell>
        </row>
        <row r="156">
          <cell r="B155" t="str">
            <v>迪庆州本级</v>
          </cell>
        </row>
        <row r="156">
          <cell r="D155">
            <v>510</v>
          </cell>
          <cell r="E155">
            <v>475</v>
          </cell>
          <cell r="F155">
            <v>35</v>
          </cell>
        </row>
        <row r="157">
          <cell r="B156" t="str">
            <v>香格里拉市</v>
          </cell>
          <cell r="C156" t="str">
            <v>深度贫困</v>
          </cell>
          <cell r="D156">
            <v>27266</v>
          </cell>
          <cell r="E156">
            <v>16734</v>
          </cell>
          <cell r="F156">
            <v>10532</v>
          </cell>
        </row>
        <row r="157">
          <cell r="I156" t="str">
            <v>三区三州</v>
          </cell>
        </row>
        <row r="157">
          <cell r="L156" t="str">
            <v>国家级</v>
          </cell>
        </row>
        <row r="158">
          <cell r="B157" t="str">
            <v>德钦县</v>
          </cell>
          <cell r="C157" t="str">
            <v>深度贫困</v>
          </cell>
          <cell r="D157">
            <v>24145</v>
          </cell>
          <cell r="E157">
            <v>15572</v>
          </cell>
          <cell r="F157">
            <v>8573</v>
          </cell>
        </row>
        <row r="158">
          <cell r="I157" t="str">
            <v>三区三州</v>
          </cell>
        </row>
        <row r="158">
          <cell r="L157" t="str">
            <v>国家级</v>
          </cell>
        </row>
        <row r="159">
          <cell r="B158" t="str">
            <v>维西县</v>
          </cell>
          <cell r="C158" t="str">
            <v>深度贫困</v>
          </cell>
          <cell r="D158">
            <v>44827</v>
          </cell>
          <cell r="E158">
            <v>30685</v>
          </cell>
          <cell r="F158">
            <v>14142</v>
          </cell>
        </row>
        <row r="159">
          <cell r="I158" t="str">
            <v>三区三州</v>
          </cell>
        </row>
        <row r="159">
          <cell r="L158" t="str">
            <v>国家级</v>
          </cell>
        </row>
        <row r="160">
          <cell r="B159" t="str">
            <v>临沧市合计</v>
          </cell>
        </row>
        <row r="160">
          <cell r="D159">
            <v>92261</v>
          </cell>
          <cell r="E159">
            <v>67365</v>
          </cell>
          <cell r="F159">
            <v>24896</v>
          </cell>
          <cell r="G159">
            <v>0.038070562234131</v>
          </cell>
        </row>
        <row r="161">
          <cell r="B160" t="str">
            <v>临沧市本级</v>
          </cell>
        </row>
        <row r="161">
          <cell r="D160">
            <v>47</v>
          </cell>
          <cell r="E160">
            <v>7</v>
          </cell>
          <cell r="F160">
            <v>40</v>
          </cell>
        </row>
        <row r="162">
          <cell r="B161" t="str">
            <v>临翔区</v>
          </cell>
          <cell r="C161" t="str">
            <v>贫困</v>
          </cell>
          <cell r="D161">
            <v>9720</v>
          </cell>
          <cell r="E161">
            <v>7084</v>
          </cell>
          <cell r="F161">
            <v>2636</v>
          </cell>
        </row>
        <row r="163">
          <cell r="B162" t="str">
            <v>凤庆县</v>
          </cell>
          <cell r="C162" t="str">
            <v>贫困</v>
          </cell>
          <cell r="D162">
            <v>18592</v>
          </cell>
          <cell r="E162">
            <v>12995</v>
          </cell>
          <cell r="F162">
            <v>5597</v>
          </cell>
        </row>
        <row r="163">
          <cell r="L162" t="str">
            <v>省级</v>
          </cell>
        </row>
        <row r="164">
          <cell r="B163" t="str">
            <v>云县</v>
          </cell>
          <cell r="C163" t="str">
            <v>贫困</v>
          </cell>
          <cell r="D163">
            <v>11445</v>
          </cell>
          <cell r="E163">
            <v>8074</v>
          </cell>
          <cell r="F163">
            <v>3371</v>
          </cell>
        </row>
        <row r="165">
          <cell r="B164" t="str">
            <v>永德县</v>
          </cell>
          <cell r="C164" t="str">
            <v>贫困</v>
          </cell>
          <cell r="D164">
            <v>14151</v>
          </cell>
          <cell r="E164">
            <v>10627</v>
          </cell>
          <cell r="F164">
            <v>3524</v>
          </cell>
        </row>
        <row r="165">
          <cell r="L164" t="str">
            <v>省级</v>
          </cell>
        </row>
        <row r="166">
          <cell r="B165" t="str">
            <v>镇康县</v>
          </cell>
          <cell r="C165" t="str">
            <v>贫困</v>
          </cell>
          <cell r="D165">
            <v>9390</v>
          </cell>
          <cell r="E165">
            <v>6715</v>
          </cell>
          <cell r="F165">
            <v>2675</v>
          </cell>
        </row>
        <row r="166">
          <cell r="J165" t="str">
            <v>边境县</v>
          </cell>
        </row>
        <row r="167">
          <cell r="B166" t="str">
            <v>双江县</v>
          </cell>
          <cell r="C166" t="str">
            <v>贫困</v>
          </cell>
          <cell r="D166">
            <v>7248</v>
          </cell>
          <cell r="E166">
            <v>5478</v>
          </cell>
          <cell r="F166">
            <v>1770</v>
          </cell>
        </row>
        <row r="168">
          <cell r="B167" t="str">
            <v>耿马县</v>
          </cell>
          <cell r="C167" t="str">
            <v>贫困</v>
          </cell>
          <cell r="D167">
            <v>8843</v>
          </cell>
          <cell r="E167">
            <v>7157</v>
          </cell>
          <cell r="F167">
            <v>1686</v>
          </cell>
        </row>
        <row r="168">
          <cell r="J167" t="str">
            <v>边境县</v>
          </cell>
        </row>
        <row r="169">
          <cell r="B168" t="str">
            <v>沧源县</v>
          </cell>
          <cell r="C168" t="str">
            <v>贫困</v>
          </cell>
          <cell r="D168">
            <v>12825</v>
          </cell>
          <cell r="E168">
            <v>9228</v>
          </cell>
          <cell r="F168">
            <v>3597</v>
          </cell>
        </row>
        <row r="169">
          <cell r="J168" t="str">
            <v>边境县</v>
          </cell>
        </row>
        <row r="169">
          <cell r="L168" t="str">
            <v>省级</v>
          </cell>
        </row>
      </sheetData>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测算分配表"/>
      <sheetName val="测算分配表 (补差前)"/>
      <sheetName val="综合进度"/>
      <sheetName val="未整改问题"/>
      <sheetName val="受灾情况"/>
      <sheetName val="怒江迪庆特殊倾斜"/>
      <sheetName val="问题扣减"/>
      <sheetName val="还原表"/>
    </sheetNames>
    <sheetDataSet>
      <sheetData sheetId="0">
        <row r="4">
          <cell r="B3" t="str">
            <v>地区</v>
          </cell>
          <cell r="C3" t="str">
            <v>脱贫县标识</v>
          </cell>
          <cell r="D3" t="str">
            <v>脱贫年度</v>
          </cell>
          <cell r="E3" t="str">
            <v>乡村振兴重点帮扶县</v>
          </cell>
          <cell r="F3" t="str">
            <v>绩效管理结果因素</v>
          </cell>
        </row>
        <row r="4">
          <cell r="M3" t="str">
            <v>政策因素</v>
          </cell>
        </row>
        <row r="4">
          <cell r="P3" t="str">
            <v>本次分配金额</v>
          </cell>
        </row>
        <row r="5">
          <cell r="F4" t="str">
            <v>综合支出进度系数</v>
          </cell>
          <cell r="G4" t="str">
            <v>超全省平均进度参与分配县系数</v>
          </cell>
          <cell r="H4" t="str">
            <v>支出进度分配金额</v>
          </cell>
          <cell r="I4" t="str">
            <v>衔接资金产业绩效评价结果</v>
          </cell>
          <cell r="J4" t="str">
            <v>衔接资金产业绩效评价奖励</v>
          </cell>
          <cell r="K4" t="str">
            <v>新增或补充政担风险分担机制出资奖励</v>
          </cell>
          <cell r="L4" t="str">
            <v>分任务分部门项目入库调度问题扣减</v>
          </cell>
          <cell r="M4" t="str">
            <v>受灾情况评分</v>
          </cell>
          <cell r="N4" t="str">
            <v>受灾及特殊政策倾斜分配金额</v>
          </cell>
          <cell r="O4" t="str">
            <v>重点产业分配金额</v>
          </cell>
        </row>
        <row r="6">
          <cell r="F5">
            <v>1</v>
          </cell>
          <cell r="G5">
            <v>2</v>
          </cell>
          <cell r="H5">
            <v>3</v>
          </cell>
          <cell r="I5">
            <v>4</v>
          </cell>
          <cell r="J5">
            <v>5</v>
          </cell>
          <cell r="K5">
            <v>6</v>
          </cell>
          <cell r="L5">
            <v>7</v>
          </cell>
          <cell r="M5">
            <v>8</v>
          </cell>
          <cell r="N5">
            <v>9</v>
          </cell>
          <cell r="O5">
            <v>10</v>
          </cell>
          <cell r="P5">
            <v>11</v>
          </cell>
        </row>
        <row r="7">
          <cell r="B6" t="str">
            <v>全省合计</v>
          </cell>
          <cell r="C6">
            <v>0</v>
          </cell>
        </row>
        <row r="7">
          <cell r="F6">
            <v>0.903721938717726</v>
          </cell>
          <cell r="G6">
            <v>0.841311500429662</v>
          </cell>
          <cell r="H6">
            <v>36804.4833333333</v>
          </cell>
        </row>
        <row r="7">
          <cell r="J6">
            <v>4800</v>
          </cell>
          <cell r="K6">
            <v>700</v>
          </cell>
          <cell r="L6">
            <v>-3660</v>
          </cell>
          <cell r="M6">
            <v>0.671780258271972</v>
          </cell>
          <cell r="N6">
            <v>33370.6666666667</v>
          </cell>
          <cell r="O6">
            <v>19043</v>
          </cell>
          <cell r="P6">
            <v>91058.15</v>
          </cell>
        </row>
        <row r="8">
          <cell r="B7" t="str">
            <v>云南省本级</v>
          </cell>
          <cell r="C7">
            <v>1</v>
          </cell>
        </row>
        <row r="8">
          <cell r="O7">
            <v>18043</v>
          </cell>
          <cell r="P7">
            <v>18043</v>
          </cell>
        </row>
        <row r="9">
          <cell r="B8" t="str">
            <v>州市本级合计</v>
          </cell>
          <cell r="C8">
            <v>0</v>
          </cell>
        </row>
        <row r="9">
          <cell r="F8">
            <v>0</v>
          </cell>
          <cell r="G8">
            <v>0</v>
          </cell>
          <cell r="H8">
            <v>0</v>
          </cell>
        </row>
        <row r="9">
          <cell r="J8">
            <v>0</v>
          </cell>
          <cell r="K8">
            <v>100</v>
          </cell>
          <cell r="L8">
            <v>0</v>
          </cell>
          <cell r="M8">
            <v>0</v>
          </cell>
          <cell r="N8">
            <v>0</v>
          </cell>
          <cell r="O8">
            <v>0</v>
          </cell>
          <cell r="P8">
            <v>100</v>
          </cell>
        </row>
        <row r="10">
          <cell r="B9" t="str">
            <v>88个县合计</v>
          </cell>
        </row>
        <row r="10">
          <cell r="F9">
            <v>0.769221230233665</v>
          </cell>
          <cell r="G9">
            <v>0.722108894330926</v>
          </cell>
          <cell r="H9">
            <v>31589.7794725039</v>
          </cell>
        </row>
        <row r="10">
          <cell r="J9">
            <v>4000</v>
          </cell>
          <cell r="K9">
            <v>500</v>
          </cell>
          <cell r="L9">
            <v>-2350</v>
          </cell>
          <cell r="M9">
            <v>0.531080951689721</v>
          </cell>
          <cell r="N9">
            <v>31276.2421156361</v>
          </cell>
          <cell r="O9">
            <v>1000</v>
          </cell>
          <cell r="P9">
            <v>66017.15</v>
          </cell>
        </row>
        <row r="11">
          <cell r="B10" t="str">
            <v>41个县合计</v>
          </cell>
        </row>
        <row r="11">
          <cell r="F10">
            <v>0.134500708484061</v>
          </cell>
          <cell r="G10">
            <v>0.119202606098735</v>
          </cell>
          <cell r="H10">
            <v>5214.70386082947</v>
          </cell>
        </row>
        <row r="11">
          <cell r="J10">
            <v>800</v>
          </cell>
          <cell r="K10">
            <v>100</v>
          </cell>
          <cell r="L10">
            <v>-1310</v>
          </cell>
          <cell r="M10">
            <v>0.140699306582251</v>
          </cell>
          <cell r="N10">
            <v>2094.42455103062</v>
          </cell>
          <cell r="O10">
            <v>0</v>
          </cell>
          <cell r="P10">
            <v>6898</v>
          </cell>
        </row>
        <row r="12">
          <cell r="B11" t="str">
            <v>57个县合计</v>
          </cell>
        </row>
        <row r="12">
          <cell r="F11">
            <v>0.615188145631692</v>
          </cell>
          <cell r="G11">
            <v>0.585929309151312</v>
          </cell>
          <cell r="H11">
            <v>25632.3911917972</v>
          </cell>
        </row>
        <row r="12">
          <cell r="J11">
            <v>2600</v>
          </cell>
          <cell r="K11">
            <v>400</v>
          </cell>
          <cell r="L11">
            <v>-1450</v>
          </cell>
          <cell r="M11">
            <v>0.472362575065921</v>
          </cell>
          <cell r="N11">
            <v>30402.1709308882</v>
          </cell>
          <cell r="O11">
            <v>500</v>
          </cell>
          <cell r="P11">
            <v>58085.15</v>
          </cell>
        </row>
        <row r="13">
          <cell r="B12" t="str">
            <v>27个县合计</v>
          </cell>
        </row>
        <row r="13">
          <cell r="F12">
            <v>0.412579364723597</v>
          </cell>
          <cell r="G12">
            <v>0.401303129035368</v>
          </cell>
          <cell r="H12">
            <v>17555.6310791588</v>
          </cell>
        </row>
        <row r="13">
          <cell r="J12">
            <v>1800</v>
          </cell>
          <cell r="K12">
            <v>100</v>
          </cell>
          <cell r="L12">
            <v>-550</v>
          </cell>
          <cell r="M12">
            <v>0.417266115142364</v>
          </cell>
          <cell r="N12">
            <v>29582.0149461726</v>
          </cell>
          <cell r="O12">
            <v>0</v>
          </cell>
          <cell r="P12">
            <v>48489.15</v>
          </cell>
        </row>
        <row r="14">
          <cell r="B13" t="str">
            <v>30个县合计</v>
          </cell>
        </row>
        <row r="14">
          <cell r="F13">
            <v>0.202608780908096</v>
          </cell>
          <cell r="G13">
            <v>0.184626180115944</v>
          </cell>
          <cell r="H13">
            <v>8076.76011263842</v>
          </cell>
        </row>
        <row r="14">
          <cell r="J13">
            <v>800</v>
          </cell>
          <cell r="K13">
            <v>300</v>
          </cell>
          <cell r="L13">
            <v>-900</v>
          </cell>
          <cell r="M13">
            <v>0.055096459923557</v>
          </cell>
          <cell r="N13">
            <v>820.155984715631</v>
          </cell>
          <cell r="O13">
            <v>500</v>
          </cell>
          <cell r="P13">
            <v>9596</v>
          </cell>
        </row>
        <row r="15">
          <cell r="B14" t="str">
            <v>昆明市合计</v>
          </cell>
          <cell r="C14">
            <v>1</v>
          </cell>
        </row>
        <row r="15">
          <cell r="F14">
            <v>0.045799516134476</v>
          </cell>
          <cell r="G14">
            <v>0.0207733917934979</v>
          </cell>
          <cell r="H14">
            <v>908.764413240677</v>
          </cell>
        </row>
        <row r="15">
          <cell r="J14">
            <v>0</v>
          </cell>
          <cell r="K14">
            <v>100</v>
          </cell>
          <cell r="L14">
            <v>-250</v>
          </cell>
          <cell r="M14">
            <v>0.0129252012662889</v>
          </cell>
          <cell r="N14">
            <v>192.40221943313</v>
          </cell>
          <cell r="O14">
            <v>0</v>
          </cell>
          <cell r="P14">
            <v>951</v>
          </cell>
        </row>
        <row r="16">
          <cell r="B15" t="str">
            <v>昆明市本级</v>
          </cell>
          <cell r="C15">
            <v>2</v>
          </cell>
        </row>
        <row r="16">
          <cell r="P15">
            <v>0</v>
          </cell>
        </row>
        <row r="17">
          <cell r="B16" t="str">
            <v>县级小计</v>
          </cell>
          <cell r="C16">
            <v>3</v>
          </cell>
        </row>
        <row r="17">
          <cell r="F16">
            <v>0.045799516134476</v>
          </cell>
          <cell r="G16">
            <v>0.0207733917934979</v>
          </cell>
          <cell r="H16">
            <v>908.764413240677</v>
          </cell>
        </row>
        <row r="17">
          <cell r="J16">
            <v>0</v>
          </cell>
          <cell r="K16">
            <v>100</v>
          </cell>
          <cell r="L16">
            <v>-250</v>
          </cell>
          <cell r="M16">
            <v>0.0129252012662889</v>
          </cell>
          <cell r="N16">
            <v>192.40221943313</v>
          </cell>
          <cell r="O16">
            <v>0</v>
          </cell>
          <cell r="P16">
            <v>951</v>
          </cell>
        </row>
        <row r="18">
          <cell r="B17" t="str">
            <v>盘龙区</v>
          </cell>
          <cell r="C17" t="str">
            <v>非贫困县</v>
          </cell>
        </row>
        <row r="18">
          <cell r="F17">
            <v>0.00273805798173941</v>
          </cell>
          <cell r="G17">
            <v>0.00273805798173941</v>
          </cell>
          <cell r="H17">
            <v>119.780615507054</v>
          </cell>
        </row>
        <row r="18">
          <cell r="L17">
            <v>0</v>
          </cell>
        </row>
        <row r="18">
          <cell r="P17">
            <v>120</v>
          </cell>
        </row>
        <row r="19">
          <cell r="B18" t="str">
            <v>五华区</v>
          </cell>
          <cell r="C18" t="str">
            <v>非贫困县</v>
          </cell>
        </row>
        <row r="19">
          <cell r="F18">
            <v>0.00187650934574115</v>
          </cell>
          <cell r="G18">
            <v>0.00187650934574115</v>
          </cell>
          <cell r="H18">
            <v>82.0908271251529</v>
          </cell>
        </row>
        <row r="19">
          <cell r="L18">
            <v>0</v>
          </cell>
        </row>
        <row r="19">
          <cell r="P18">
            <v>82</v>
          </cell>
        </row>
        <row r="20">
          <cell r="B19" t="str">
            <v>西山区</v>
          </cell>
          <cell r="C19" t="str">
            <v>非贫困县</v>
          </cell>
        </row>
        <row r="20">
          <cell r="F19">
            <v>0.000987408688812301</v>
          </cell>
          <cell r="G19">
            <v>0</v>
          </cell>
          <cell r="H19">
            <v>0</v>
          </cell>
        </row>
        <row r="20">
          <cell r="P19">
            <v>0</v>
          </cell>
        </row>
        <row r="21">
          <cell r="B20" t="str">
            <v>官渡区</v>
          </cell>
          <cell r="C20" t="str">
            <v>非贫困县</v>
          </cell>
        </row>
        <row r="21">
          <cell r="F20">
            <v>0</v>
          </cell>
          <cell r="G20">
            <v>0</v>
          </cell>
          <cell r="H20">
            <v>0</v>
          </cell>
        </row>
        <row r="21">
          <cell r="L20">
            <v>0</v>
          </cell>
        </row>
        <row r="21">
          <cell r="P20">
            <v>0</v>
          </cell>
        </row>
        <row r="22">
          <cell r="B21" t="str">
            <v>呈贡区</v>
          </cell>
          <cell r="C21" t="str">
            <v>非贫困县</v>
          </cell>
        </row>
        <row r="22">
          <cell r="F21">
            <v>0.00177338202381466</v>
          </cell>
          <cell r="G21">
            <v>0.00177338202381466</v>
          </cell>
          <cell r="H21">
            <v>77.5793616345274</v>
          </cell>
        </row>
        <row r="22">
          <cell r="L21">
            <v>0</v>
          </cell>
        </row>
        <row r="22">
          <cell r="P21">
            <v>78</v>
          </cell>
        </row>
        <row r="23">
          <cell r="B22" t="str">
            <v>安宁市</v>
          </cell>
          <cell r="C22" t="str">
            <v>非贫困县</v>
          </cell>
        </row>
        <row r="23">
          <cell r="F22">
            <v>0.00107634393297788</v>
          </cell>
          <cell r="G22">
            <v>0</v>
          </cell>
          <cell r="H22">
            <v>0</v>
          </cell>
        </row>
        <row r="23">
          <cell r="L22">
            <v>0</v>
          </cell>
        </row>
        <row r="23">
          <cell r="P22">
            <v>0</v>
          </cell>
        </row>
        <row r="24">
          <cell r="B23" t="str">
            <v>富民县</v>
          </cell>
          <cell r="C23" t="str">
            <v>非贫困县</v>
          </cell>
        </row>
        <row r="24">
          <cell r="F23">
            <v>0.0017085770759763</v>
          </cell>
          <cell r="G23">
            <v>0</v>
          </cell>
          <cell r="H23">
            <v>0</v>
          </cell>
        </row>
        <row r="24">
          <cell r="L23">
            <v>0</v>
          </cell>
        </row>
        <row r="24">
          <cell r="P23">
            <v>0</v>
          </cell>
        </row>
        <row r="25">
          <cell r="B24" t="str">
            <v>晋宁区</v>
          </cell>
          <cell r="C24" t="str">
            <v>非贫困县</v>
          </cell>
        </row>
        <row r="25">
          <cell r="F24">
            <v>0.00292169366490654</v>
          </cell>
          <cell r="G24">
            <v>0.00292169366490654</v>
          </cell>
          <cell r="H24">
            <v>127.814044786315</v>
          </cell>
        </row>
        <row r="25">
          <cell r="L24">
            <v>-100</v>
          </cell>
        </row>
        <row r="25">
          <cell r="P24">
            <v>28</v>
          </cell>
        </row>
        <row r="26">
          <cell r="B25" t="str">
            <v>宜良县</v>
          </cell>
          <cell r="C25" t="str">
            <v>非贫困县</v>
          </cell>
        </row>
        <row r="26">
          <cell r="F25">
            <v>0.00245708337145089</v>
          </cell>
          <cell r="G25">
            <v>0.00245708337145089</v>
          </cell>
          <cell r="H25">
            <v>107.488943093005</v>
          </cell>
        </row>
        <row r="26">
          <cell r="L25">
            <v>0</v>
          </cell>
        </row>
        <row r="26">
          <cell r="P25">
            <v>107</v>
          </cell>
        </row>
        <row r="27">
          <cell r="B26" t="str">
            <v>石林县</v>
          </cell>
          <cell r="C26" t="str">
            <v>非贫困县</v>
          </cell>
        </row>
        <row r="27">
          <cell r="F26">
            <v>0.00160068950243391</v>
          </cell>
          <cell r="G26">
            <v>0</v>
          </cell>
          <cell r="H26">
            <v>0</v>
          </cell>
        </row>
        <row r="27">
          <cell r="L26">
            <v>-50</v>
          </cell>
          <cell r="M26">
            <v>0.0129252012662889</v>
          </cell>
          <cell r="N26">
            <v>192.40221943313</v>
          </cell>
        </row>
        <row r="27">
          <cell r="P26">
            <v>142</v>
          </cell>
        </row>
        <row r="28">
          <cell r="B27" t="str">
            <v>嵩明县</v>
          </cell>
          <cell r="C27" t="str">
            <v>非贫困县</v>
          </cell>
        </row>
        <row r="28">
          <cell r="F27">
            <v>0.00209044360621544</v>
          </cell>
          <cell r="G27">
            <v>0</v>
          </cell>
          <cell r="H27">
            <v>0</v>
          </cell>
        </row>
        <row r="28">
          <cell r="L27">
            <v>0</v>
          </cell>
        </row>
        <row r="28">
          <cell r="P27">
            <v>0</v>
          </cell>
        </row>
        <row r="29">
          <cell r="B28" t="str">
            <v>禄劝县</v>
          </cell>
          <cell r="C28" t="str">
            <v>贫困</v>
          </cell>
          <cell r="D28">
            <v>2018</v>
          </cell>
          <cell r="E28" t="str">
            <v>省级</v>
          </cell>
          <cell r="F28">
            <v>0.0062864258463334</v>
          </cell>
          <cell r="G28">
            <v>0</v>
          </cell>
          <cell r="H28">
            <v>0</v>
          </cell>
        </row>
        <row r="29">
          <cell r="L28">
            <v>0</v>
          </cell>
        </row>
        <row r="29">
          <cell r="P28">
            <v>0</v>
          </cell>
        </row>
        <row r="30">
          <cell r="B29" t="str">
            <v>东川区</v>
          </cell>
          <cell r="C29" t="str">
            <v>深度贫困</v>
          </cell>
          <cell r="D29">
            <v>2018</v>
          </cell>
          <cell r="E29" t="str">
            <v>国家</v>
          </cell>
          <cell r="F29">
            <v>0.0112762356882289</v>
          </cell>
          <cell r="G29">
            <v>0</v>
          </cell>
          <cell r="H29">
            <v>0</v>
          </cell>
        </row>
        <row r="30">
          <cell r="P29">
            <v>0</v>
          </cell>
        </row>
        <row r="31">
          <cell r="B30" t="str">
            <v>寻甸县</v>
          </cell>
          <cell r="C30" t="str">
            <v>贫困</v>
          </cell>
          <cell r="D30">
            <v>2017</v>
          </cell>
          <cell r="E30" t="str">
            <v>省级</v>
          </cell>
          <cell r="F30">
            <v>0.00900666540584521</v>
          </cell>
          <cell r="G30">
            <v>0.00900666540584521</v>
          </cell>
          <cell r="H30">
            <v>394.010621094622</v>
          </cell>
        </row>
        <row r="31">
          <cell r="K30">
            <v>100</v>
          </cell>
          <cell r="L30">
            <v>-100</v>
          </cell>
        </row>
        <row r="31">
          <cell r="P30">
            <v>394</v>
          </cell>
        </row>
        <row r="32">
          <cell r="B31" t="str">
            <v>昭通市合计</v>
          </cell>
          <cell r="C31">
            <v>1</v>
          </cell>
        </row>
        <row r="32">
          <cell r="F31">
            <v>0.229668585034538</v>
          </cell>
          <cell r="G31">
            <v>0.229668585034538</v>
          </cell>
          <cell r="H31">
            <v>10047.2103445359</v>
          </cell>
        </row>
        <row r="32">
          <cell r="J31">
            <v>1400</v>
          </cell>
          <cell r="K31">
            <v>0</v>
          </cell>
          <cell r="L31">
            <v>-450</v>
          </cell>
          <cell r="M31">
            <v>0.387593350031</v>
          </cell>
          <cell r="N31">
            <v>5769.64483934093</v>
          </cell>
          <cell r="O31">
            <v>0</v>
          </cell>
          <cell r="P31">
            <v>16768.08</v>
          </cell>
        </row>
        <row r="33">
          <cell r="B32" t="str">
            <v>昭通市本级</v>
          </cell>
          <cell r="C32">
            <v>2</v>
          </cell>
        </row>
        <row r="33">
          <cell r="P32">
            <v>0</v>
          </cell>
        </row>
        <row r="34">
          <cell r="B33" t="str">
            <v>县级小计</v>
          </cell>
          <cell r="C33">
            <v>3</v>
          </cell>
        </row>
        <row r="34">
          <cell r="F33">
            <v>0.229668585034538</v>
          </cell>
          <cell r="G33">
            <v>0.229668585034538</v>
          </cell>
          <cell r="H33">
            <v>10047.2103445359</v>
          </cell>
        </row>
        <row r="34">
          <cell r="J33">
            <v>1400</v>
          </cell>
          <cell r="K33">
            <v>0</v>
          </cell>
          <cell r="L33">
            <v>-450</v>
          </cell>
          <cell r="M33">
            <v>0.387593350031</v>
          </cell>
          <cell r="N33">
            <v>5769.64483934093</v>
          </cell>
          <cell r="O33">
            <v>0</v>
          </cell>
          <cell r="P33">
            <v>16768.08</v>
          </cell>
        </row>
        <row r="35">
          <cell r="B34" t="str">
            <v>昭阳区</v>
          </cell>
          <cell r="C34" t="str">
            <v>深度贫困</v>
          </cell>
          <cell r="D34">
            <v>2019</v>
          </cell>
          <cell r="E34" t="str">
            <v>国家</v>
          </cell>
          <cell r="F34">
            <v>0.0287643794411663</v>
          </cell>
          <cell r="G34">
            <v>0.0287643794411663</v>
          </cell>
          <cell r="H34">
            <v>1258.34262719031</v>
          </cell>
        </row>
        <row r="35">
          <cell r="L34">
            <v>-50</v>
          </cell>
          <cell r="M34">
            <v>0.119748261979796</v>
          </cell>
          <cell r="N34">
            <v>1782.55107239718</v>
          </cell>
        </row>
        <row r="35">
          <cell r="P34">
            <v>2991</v>
          </cell>
        </row>
        <row r="36">
          <cell r="B35" t="str">
            <v>鲁甸县</v>
          </cell>
          <cell r="C35" t="str">
            <v>深度贫困</v>
          </cell>
          <cell r="D35">
            <v>2019</v>
          </cell>
          <cell r="E35" t="str">
            <v>国家</v>
          </cell>
          <cell r="F35">
            <v>0.022758692358382</v>
          </cell>
          <cell r="G35">
            <v>0.022758692358382</v>
          </cell>
          <cell r="H35">
            <v>995.614481871166</v>
          </cell>
          <cell r="I35" t="str">
            <v>A</v>
          </cell>
          <cell r="J35">
            <v>200</v>
          </cell>
        </row>
        <row r="36">
          <cell r="L35">
            <v>-50</v>
          </cell>
          <cell r="M35">
            <v>0.12193178934015</v>
          </cell>
          <cell r="N35">
            <v>1815.05466763487</v>
          </cell>
        </row>
        <row r="36">
          <cell r="P35">
            <v>2961</v>
          </cell>
        </row>
        <row r="37">
          <cell r="B36" t="str">
            <v>巧家县</v>
          </cell>
          <cell r="C36" t="str">
            <v>深度贫困</v>
          </cell>
          <cell r="D36">
            <v>2019</v>
          </cell>
          <cell r="E36" t="str">
            <v>国家</v>
          </cell>
          <cell r="F36">
            <v>0.0169041514298261</v>
          </cell>
          <cell r="G36">
            <v>0.0169041514298261</v>
          </cell>
          <cell r="H36">
            <v>739.498460731183</v>
          </cell>
        </row>
        <row r="37">
          <cell r="L36">
            <v>-50</v>
          </cell>
        </row>
        <row r="37">
          <cell r="P36">
            <v>689</v>
          </cell>
        </row>
        <row r="38">
          <cell r="B37" t="str">
            <v>盐津县</v>
          </cell>
          <cell r="C37" t="str">
            <v>贫困</v>
          </cell>
          <cell r="D37">
            <v>2019</v>
          </cell>
          <cell r="E37" t="str">
            <v>国家</v>
          </cell>
          <cell r="F37">
            <v>0.0169936776534135</v>
          </cell>
          <cell r="G37">
            <v>0.0169936776534135</v>
          </cell>
          <cell r="H37">
            <v>743.414924968551</v>
          </cell>
          <cell r="I37" t="str">
            <v>A</v>
          </cell>
          <cell r="J37">
            <v>200</v>
          </cell>
        </row>
        <row r="38">
          <cell r="L37">
            <v>-50</v>
          </cell>
        </row>
        <row r="38">
          <cell r="P37">
            <v>893</v>
          </cell>
        </row>
        <row r="39">
          <cell r="B38" t="str">
            <v>大关县</v>
          </cell>
          <cell r="C38" t="str">
            <v>深度贫困</v>
          </cell>
          <cell r="D38">
            <v>2019</v>
          </cell>
          <cell r="E38" t="str">
            <v>国家</v>
          </cell>
          <cell r="F38">
            <v>0.0215953059688347</v>
          </cell>
          <cell r="G38">
            <v>0.0215953059688347</v>
          </cell>
          <cell r="H38">
            <v>944.720330344111</v>
          </cell>
          <cell r="I38" t="str">
            <v>A</v>
          </cell>
          <cell r="J38">
            <v>200</v>
          </cell>
        </row>
        <row r="39">
          <cell r="L38">
            <v>0</v>
          </cell>
          <cell r="M38">
            <v>0.0116652582206397</v>
          </cell>
          <cell r="N38">
            <v>173.646934053203</v>
          </cell>
        </row>
        <row r="39">
          <cell r="P38">
            <v>1321.08</v>
          </cell>
        </row>
        <row r="40">
          <cell r="B39" t="str">
            <v>永善县</v>
          </cell>
          <cell r="C39" t="str">
            <v>深度贫困</v>
          </cell>
          <cell r="D39">
            <v>2019</v>
          </cell>
          <cell r="E39" t="str">
            <v>国家</v>
          </cell>
          <cell r="F39">
            <v>0.0204021202290983</v>
          </cell>
          <cell r="G39">
            <v>0.0204021202290983</v>
          </cell>
          <cell r="H39">
            <v>892.522559780804</v>
          </cell>
          <cell r="I39" t="str">
            <v>A</v>
          </cell>
          <cell r="J39">
            <v>200</v>
          </cell>
        </row>
        <row r="40">
          <cell r="L39">
            <v>-50</v>
          </cell>
          <cell r="M39">
            <v>0.0765247144954645</v>
          </cell>
          <cell r="N39">
            <v>1139.13312505357</v>
          </cell>
        </row>
        <row r="40">
          <cell r="P39">
            <v>2182</v>
          </cell>
        </row>
        <row r="41">
          <cell r="B40" t="str">
            <v>绥江县</v>
          </cell>
          <cell r="C40" t="str">
            <v>贫困</v>
          </cell>
          <cell r="D40">
            <v>2018</v>
          </cell>
          <cell r="E40" t="str">
            <v>省级</v>
          </cell>
          <cell r="F40">
            <v>0.00848231654526662</v>
          </cell>
          <cell r="G40">
            <v>0.00848231654526662</v>
          </cell>
          <cell r="H40">
            <v>371.072162639982</v>
          </cell>
        </row>
        <row r="41">
          <cell r="L40">
            <v>0</v>
          </cell>
          <cell r="M40">
            <v>0.00921147138492353</v>
          </cell>
          <cell r="N40">
            <v>137.120304913668</v>
          </cell>
        </row>
        <row r="41">
          <cell r="P40">
            <v>508</v>
          </cell>
        </row>
        <row r="42">
          <cell r="B41" t="str">
            <v>镇雄县</v>
          </cell>
          <cell r="C41" t="str">
            <v>深度贫困</v>
          </cell>
          <cell r="D41">
            <v>2020</v>
          </cell>
          <cell r="E41" t="str">
            <v>国家</v>
          </cell>
          <cell r="F41">
            <v>0.0526733933940465</v>
          </cell>
          <cell r="G41">
            <v>0.0526733933940465</v>
          </cell>
          <cell r="H41">
            <v>2304.27972075888</v>
          </cell>
          <cell r="I41" t="str">
            <v>A</v>
          </cell>
          <cell r="J41">
            <v>200</v>
          </cell>
        </row>
        <row r="42">
          <cell r="L41">
            <v>0</v>
          </cell>
          <cell r="M41">
            <v>0.0485118546100263</v>
          </cell>
          <cell r="N41">
            <v>722.138735288439</v>
          </cell>
        </row>
        <row r="42">
          <cell r="P41">
            <v>3226</v>
          </cell>
        </row>
        <row r="43">
          <cell r="B42" t="str">
            <v>彝良县</v>
          </cell>
          <cell r="C42" t="str">
            <v>深度贫困</v>
          </cell>
          <cell r="D42">
            <v>2019</v>
          </cell>
          <cell r="E42" t="str">
            <v>国家</v>
          </cell>
          <cell r="F42">
            <v>0.0282817543599362</v>
          </cell>
          <cell r="G42">
            <v>0.0282817543599362</v>
          </cell>
          <cell r="H42">
            <v>1237.2294405177</v>
          </cell>
          <cell r="I42" t="str">
            <v>A</v>
          </cell>
          <cell r="J42">
            <v>200</v>
          </cell>
        </row>
        <row r="43">
          <cell r="L42">
            <v>0</v>
          </cell>
        </row>
        <row r="43">
          <cell r="P42">
            <v>1437</v>
          </cell>
        </row>
        <row r="44">
          <cell r="B43" t="str">
            <v>威信县</v>
          </cell>
          <cell r="C43" t="str">
            <v>贫困</v>
          </cell>
          <cell r="D43">
            <v>2018</v>
          </cell>
          <cell r="E43" t="str">
            <v>省级</v>
          </cell>
          <cell r="F43">
            <v>0.00868962431610323</v>
          </cell>
          <cell r="G43">
            <v>0.00868962431610323</v>
          </cell>
          <cell r="H43">
            <v>380.141164303135</v>
          </cell>
          <cell r="I43" t="str">
            <v>A</v>
          </cell>
          <cell r="J43">
            <v>200</v>
          </cell>
        </row>
        <row r="44">
          <cell r="L43">
            <v>-150</v>
          </cell>
        </row>
        <row r="44">
          <cell r="P43">
            <v>430</v>
          </cell>
        </row>
        <row r="45">
          <cell r="B44" t="str">
            <v>水富市</v>
          </cell>
          <cell r="C44" t="str">
            <v>非贫困县</v>
          </cell>
        </row>
        <row r="45">
          <cell r="F44">
            <v>0.00412316933846448</v>
          </cell>
          <cell r="G44">
            <v>0.00412316933846448</v>
          </cell>
          <cell r="H44">
            <v>180.374471430055</v>
          </cell>
        </row>
        <row r="45">
          <cell r="L44">
            <v>-50</v>
          </cell>
        </row>
        <row r="45">
          <cell r="P44">
            <v>130</v>
          </cell>
        </row>
        <row r="46">
          <cell r="B45" t="str">
            <v>曲靖市合计</v>
          </cell>
          <cell r="C45">
            <v>1</v>
          </cell>
        </row>
        <row r="46">
          <cell r="F45">
            <v>0.0983517083619599</v>
          </cell>
          <cell r="G45">
            <v>0.0983517083619599</v>
          </cell>
          <cell r="H45">
            <v>4302.54882925524</v>
          </cell>
        </row>
        <row r="46">
          <cell r="J45">
            <v>400</v>
          </cell>
          <cell r="K45">
            <v>0</v>
          </cell>
          <cell r="L45">
            <v>-600</v>
          </cell>
          <cell r="M45">
            <v>0.0620255184279301</v>
          </cell>
          <cell r="N45">
            <v>923.300702337979</v>
          </cell>
          <cell r="O45">
            <v>0</v>
          </cell>
          <cell r="P45">
            <v>5026</v>
          </cell>
        </row>
        <row r="47">
          <cell r="B46" t="str">
            <v>曲靖市本级</v>
          </cell>
          <cell r="C46">
            <v>2</v>
          </cell>
        </row>
        <row r="47">
          <cell r="P46">
            <v>0</v>
          </cell>
        </row>
        <row r="48">
          <cell r="B47" t="str">
            <v>县级小计</v>
          </cell>
          <cell r="C47">
            <v>3</v>
          </cell>
        </row>
        <row r="48">
          <cell r="F47">
            <v>0.0983517083619599</v>
          </cell>
          <cell r="G47">
            <v>0.0983517083619599</v>
          </cell>
          <cell r="H47">
            <v>4302.54882925524</v>
          </cell>
        </row>
        <row r="48">
          <cell r="J47">
            <v>400</v>
          </cell>
          <cell r="K47">
            <v>0</v>
          </cell>
          <cell r="L47">
            <v>-600</v>
          </cell>
          <cell r="M47">
            <v>0.0620255184279301</v>
          </cell>
          <cell r="N47">
            <v>923.300702337979</v>
          </cell>
          <cell r="O47">
            <v>0</v>
          </cell>
          <cell r="P47">
            <v>5026</v>
          </cell>
        </row>
        <row r="49">
          <cell r="B48" t="str">
            <v>麒麟区</v>
          </cell>
          <cell r="C48" t="str">
            <v>非贫困县</v>
          </cell>
        </row>
        <row r="49">
          <cell r="F48">
            <v>0.00277520919556725</v>
          </cell>
          <cell r="G48">
            <v>0.00277520919556725</v>
          </cell>
          <cell r="H48">
            <v>121.405853280984</v>
          </cell>
          <cell r="I48" t="str">
            <v>A</v>
          </cell>
          <cell r="J48">
            <v>100</v>
          </cell>
        </row>
        <row r="49">
          <cell r="L48">
            <v>0</v>
          </cell>
        </row>
        <row r="49">
          <cell r="P48">
            <v>221</v>
          </cell>
        </row>
        <row r="50">
          <cell r="B49" t="str">
            <v>沾益区</v>
          </cell>
          <cell r="C49" t="str">
            <v>非贫困县</v>
          </cell>
        </row>
        <row r="50">
          <cell r="F49">
            <v>0.00363683623146102</v>
          </cell>
          <cell r="G49">
            <v>0.00363683623146102</v>
          </cell>
          <cell r="H49">
            <v>159.099071388554</v>
          </cell>
        </row>
        <row r="50">
          <cell r="L49">
            <v>-150</v>
          </cell>
        </row>
        <row r="50">
          <cell r="P49">
            <v>9</v>
          </cell>
        </row>
        <row r="51">
          <cell r="B50" t="str">
            <v>马龙区</v>
          </cell>
          <cell r="C50" t="str">
            <v>非贫困县</v>
          </cell>
        </row>
        <row r="51">
          <cell r="F50">
            <v>0.00348170056150633</v>
          </cell>
          <cell r="G50">
            <v>0.00348170056150633</v>
          </cell>
          <cell r="H50">
            <v>152.312419623616</v>
          </cell>
        </row>
        <row r="51">
          <cell r="L50">
            <v>-50</v>
          </cell>
          <cell r="M50">
            <v>0.00750083209539347</v>
          </cell>
          <cell r="N50">
            <v>111.656036375465</v>
          </cell>
        </row>
        <row r="51">
          <cell r="P50">
            <v>214</v>
          </cell>
        </row>
        <row r="52">
          <cell r="B51" t="str">
            <v>宣威市</v>
          </cell>
          <cell r="C51" t="str">
            <v>深度贫困</v>
          </cell>
          <cell r="D51">
            <v>2019</v>
          </cell>
          <cell r="E51" t="str">
            <v>国家</v>
          </cell>
          <cell r="F51">
            <v>0.0209173632635566</v>
          </cell>
          <cell r="G51">
            <v>0.0209173632635566</v>
          </cell>
          <cell r="H51">
            <v>915.062669674288</v>
          </cell>
          <cell r="I51" t="str">
            <v>A</v>
          </cell>
          <cell r="J51">
            <v>200</v>
          </cell>
        </row>
        <row r="52">
          <cell r="L51">
            <v>0</v>
          </cell>
          <cell r="M51">
            <v>0.0293923506383181</v>
          </cell>
          <cell r="N51">
            <v>437.52924079556</v>
          </cell>
        </row>
        <row r="52">
          <cell r="P51">
            <v>1553</v>
          </cell>
        </row>
        <row r="53">
          <cell r="B52" t="str">
            <v>富源县</v>
          </cell>
          <cell r="C52" t="str">
            <v>贫困</v>
          </cell>
          <cell r="D52">
            <v>2018</v>
          </cell>
          <cell r="E52" t="str">
            <v>省级</v>
          </cell>
          <cell r="F52">
            <v>0.0092906042467015</v>
          </cell>
          <cell r="G52">
            <v>0.0092906042467015</v>
          </cell>
          <cell r="H52">
            <v>406.431968396596</v>
          </cell>
        </row>
        <row r="53">
          <cell r="L52">
            <v>-100</v>
          </cell>
        </row>
        <row r="53">
          <cell r="P52">
            <v>306</v>
          </cell>
        </row>
        <row r="54">
          <cell r="B53" t="str">
            <v>罗平县</v>
          </cell>
          <cell r="C53" t="str">
            <v>贫困</v>
          </cell>
          <cell r="D53">
            <v>2017</v>
          </cell>
        </row>
        <row r="54">
          <cell r="F53">
            <v>0.00500195831787463</v>
          </cell>
          <cell r="G53">
            <v>0.00500195831787463</v>
          </cell>
          <cell r="H53">
            <v>218.818465515124</v>
          </cell>
        </row>
        <row r="54">
          <cell r="L53">
            <v>-100</v>
          </cell>
        </row>
        <row r="54">
          <cell r="P53">
            <v>119</v>
          </cell>
        </row>
        <row r="55">
          <cell r="B54" t="str">
            <v>师宗县</v>
          </cell>
          <cell r="C54" t="str">
            <v>贫困</v>
          </cell>
          <cell r="D54">
            <v>2018</v>
          </cell>
        </row>
        <row r="55">
          <cell r="F54">
            <v>0.00667628631245631</v>
          </cell>
          <cell r="G54">
            <v>0.00667628631245631</v>
          </cell>
          <cell r="H54">
            <v>292.064554198856</v>
          </cell>
        </row>
        <row r="55">
          <cell r="L54">
            <v>0</v>
          </cell>
        </row>
        <row r="55">
          <cell r="P54">
            <v>292</v>
          </cell>
        </row>
        <row r="56">
          <cell r="B55" t="str">
            <v>陆良县</v>
          </cell>
          <cell r="C55" t="str">
            <v>非贫困县</v>
          </cell>
        </row>
        <row r="56">
          <cell r="F55">
            <v>0.00466319472724682</v>
          </cell>
          <cell r="G55">
            <v>0.00466319472724682</v>
          </cell>
          <cell r="H55">
            <v>203.99872405333</v>
          </cell>
          <cell r="I55" t="str">
            <v>A</v>
          </cell>
          <cell r="J55">
            <v>100</v>
          </cell>
        </row>
        <row r="56">
          <cell r="L55">
            <v>-200</v>
          </cell>
          <cell r="M55">
            <v>0.0156404498362494</v>
          </cell>
          <cell r="N55">
            <v>232.820920883884</v>
          </cell>
        </row>
        <row r="56">
          <cell r="P55">
            <v>337</v>
          </cell>
        </row>
        <row r="57">
          <cell r="B56" t="str">
            <v>会泽县</v>
          </cell>
          <cell r="C56" t="str">
            <v>深度贫困</v>
          </cell>
          <cell r="D56">
            <v>2020</v>
          </cell>
          <cell r="E56" t="str">
            <v>国家</v>
          </cell>
          <cell r="F56">
            <v>0.0419085555055894</v>
          </cell>
          <cell r="G56">
            <v>0.0419085555055894</v>
          </cell>
          <cell r="H56">
            <v>1833.35510312389</v>
          </cell>
        </row>
        <row r="57">
          <cell r="L56">
            <v>0</v>
          </cell>
          <cell r="M56">
            <v>0.00949188585796911</v>
          </cell>
          <cell r="N56">
            <v>141.29450428307</v>
          </cell>
        </row>
        <row r="57">
          <cell r="P56">
            <v>1975</v>
          </cell>
        </row>
        <row r="58">
          <cell r="B57" t="str">
            <v>玉溪市合计</v>
          </cell>
          <cell r="C57">
            <v>1</v>
          </cell>
        </row>
        <row r="58">
          <cell r="F57">
            <v>0.0261638593801038</v>
          </cell>
          <cell r="G57">
            <v>0.0261638593801038</v>
          </cell>
          <cell r="H57">
            <v>1144.57882246816</v>
          </cell>
        </row>
        <row r="58">
          <cell r="J57">
            <v>0</v>
          </cell>
          <cell r="K57">
            <v>100</v>
          </cell>
          <cell r="L57">
            <v>-200</v>
          </cell>
          <cell r="M57">
            <v>0.0293023073599209</v>
          </cell>
          <cell r="N57">
            <v>436.188872761691</v>
          </cell>
          <cell r="O57">
            <v>0</v>
          </cell>
          <cell r="P57">
            <v>1481</v>
          </cell>
        </row>
        <row r="59">
          <cell r="B58" t="str">
            <v>玉溪市本级</v>
          </cell>
          <cell r="C58">
            <v>2</v>
          </cell>
        </row>
        <row r="59">
          <cell r="P58">
            <v>0</v>
          </cell>
        </row>
        <row r="60">
          <cell r="B59" t="str">
            <v>县级小计</v>
          </cell>
          <cell r="C59">
            <v>3</v>
          </cell>
        </row>
        <row r="60">
          <cell r="F59">
            <v>0.0261638593801038</v>
          </cell>
          <cell r="G59">
            <v>0.0261638593801038</v>
          </cell>
          <cell r="H59">
            <v>1144.57882246816</v>
          </cell>
        </row>
        <row r="60">
          <cell r="J59">
            <v>0</v>
          </cell>
          <cell r="K59">
            <v>100</v>
          </cell>
          <cell r="L59">
            <v>-200</v>
          </cell>
          <cell r="M59">
            <v>0.0293023073599209</v>
          </cell>
          <cell r="N59">
            <v>436.188872761691</v>
          </cell>
          <cell r="O59">
            <v>0</v>
          </cell>
          <cell r="P59">
            <v>1481</v>
          </cell>
        </row>
        <row r="61">
          <cell r="B60" t="str">
            <v>红塔区</v>
          </cell>
          <cell r="C60" t="str">
            <v>非贫困县</v>
          </cell>
        </row>
        <row r="61">
          <cell r="F60">
            <v>0.00237001373588548</v>
          </cell>
          <cell r="G60">
            <v>0.00237001373588548</v>
          </cell>
          <cell r="H60">
            <v>103.679946128896</v>
          </cell>
        </row>
        <row r="61">
          <cell r="L60">
            <v>0</v>
          </cell>
        </row>
        <row r="61">
          <cell r="P60">
            <v>104</v>
          </cell>
        </row>
        <row r="62">
          <cell r="B61" t="str">
            <v>通海县</v>
          </cell>
          <cell r="C61" t="str">
            <v>非贫困县</v>
          </cell>
        </row>
        <row r="62">
          <cell r="F61">
            <v>0.00240871825717454</v>
          </cell>
          <cell r="G61">
            <v>0.00240871825717454</v>
          </cell>
          <cell r="H61">
            <v>105.373135759586</v>
          </cell>
        </row>
        <row r="62">
          <cell r="L61">
            <v>0</v>
          </cell>
        </row>
        <row r="62">
          <cell r="P61">
            <v>105</v>
          </cell>
        </row>
        <row r="63">
          <cell r="B62" t="str">
            <v>江川区</v>
          </cell>
          <cell r="C62" t="str">
            <v>非贫困县</v>
          </cell>
        </row>
        <row r="63">
          <cell r="F62">
            <v>0.00267260655518154</v>
          </cell>
          <cell r="G62">
            <v>0.00267260655518154</v>
          </cell>
          <cell r="H62">
            <v>116.917340802427</v>
          </cell>
        </row>
        <row r="63">
          <cell r="L62">
            <v>0</v>
          </cell>
          <cell r="M62">
            <v>0.0119882234139395</v>
          </cell>
          <cell r="N62">
            <v>178.454535784915</v>
          </cell>
        </row>
        <row r="63">
          <cell r="P62">
            <v>295</v>
          </cell>
        </row>
        <row r="64">
          <cell r="B63" t="str">
            <v>澄江市</v>
          </cell>
          <cell r="C63" t="str">
            <v>非贫困县</v>
          </cell>
        </row>
        <row r="64">
          <cell r="F63">
            <v>0.00282986907873694</v>
          </cell>
          <cell r="G63">
            <v>0.00282986907873694</v>
          </cell>
          <cell r="H63">
            <v>123.797035094252</v>
          </cell>
        </row>
        <row r="64">
          <cell r="K63">
            <v>100</v>
          </cell>
          <cell r="L63">
            <v>0</v>
          </cell>
        </row>
        <row r="64">
          <cell r="P63">
            <v>224</v>
          </cell>
        </row>
        <row r="65">
          <cell r="B64" t="str">
            <v>华宁县</v>
          </cell>
          <cell r="C64" t="str">
            <v>非贫困县</v>
          </cell>
        </row>
        <row r="65">
          <cell r="F64">
            <v>0.00254092888347219</v>
          </cell>
          <cell r="G64">
            <v>0.00254092888347219</v>
          </cell>
          <cell r="H64">
            <v>111.156895745723</v>
          </cell>
        </row>
        <row r="65">
          <cell r="L64">
            <v>0</v>
          </cell>
        </row>
        <row r="65">
          <cell r="P64">
            <v>111</v>
          </cell>
        </row>
        <row r="66">
          <cell r="B65" t="str">
            <v>易门县</v>
          </cell>
          <cell r="C65" t="str">
            <v>非贫困县</v>
          </cell>
        </row>
        <row r="66">
          <cell r="F65">
            <v>0.00277306148724721</v>
          </cell>
          <cell r="G65">
            <v>0.00277306148724721</v>
          </cell>
          <cell r="H65">
            <v>121.311898431883</v>
          </cell>
        </row>
        <row r="66">
          <cell r="L65">
            <v>-150</v>
          </cell>
          <cell r="M65">
            <v>0.00863105116096997</v>
          </cell>
          <cell r="N65">
            <v>128.480273939156</v>
          </cell>
        </row>
        <row r="66">
          <cell r="P65">
            <v>100</v>
          </cell>
        </row>
        <row r="67">
          <cell r="B66" t="str">
            <v>峨山县</v>
          </cell>
          <cell r="C66" t="str">
            <v>非贫困县</v>
          </cell>
        </row>
        <row r="67">
          <cell r="F66">
            <v>0.0028918671483891</v>
          </cell>
          <cell r="G66">
            <v>0.0028918671483891</v>
          </cell>
          <cell r="H66">
            <v>126.509237316671</v>
          </cell>
        </row>
        <row r="67">
          <cell r="L66">
            <v>0</v>
          </cell>
          <cell r="M66">
            <v>0.00868303278501147</v>
          </cell>
          <cell r="N66">
            <v>129.254063037621</v>
          </cell>
        </row>
        <row r="67">
          <cell r="P66">
            <v>256</v>
          </cell>
        </row>
        <row r="68">
          <cell r="B67" t="str">
            <v>新平县</v>
          </cell>
          <cell r="C67" t="str">
            <v>非贫困县</v>
          </cell>
        </row>
        <row r="68">
          <cell r="F67">
            <v>0.00331599194699668</v>
          </cell>
          <cell r="G67">
            <v>0.00331599194699668</v>
          </cell>
          <cell r="H67">
            <v>145.063237914112</v>
          </cell>
        </row>
        <row r="68">
          <cell r="L67">
            <v>-50</v>
          </cell>
        </row>
        <row r="68">
          <cell r="P67">
            <v>95</v>
          </cell>
        </row>
        <row r="69">
          <cell r="B68" t="str">
            <v>元江县</v>
          </cell>
          <cell r="C68" t="str">
            <v>非贫困县</v>
          </cell>
        </row>
        <row r="69">
          <cell r="F68">
            <v>0.00436080228702011</v>
          </cell>
          <cell r="G68">
            <v>0.00436080228702011</v>
          </cell>
          <cell r="H68">
            <v>190.770095274612</v>
          </cell>
        </row>
        <row r="69">
          <cell r="L68">
            <v>0</v>
          </cell>
        </row>
        <row r="69">
          <cell r="P68">
            <v>191</v>
          </cell>
        </row>
        <row r="70">
          <cell r="B69" t="str">
            <v>红河州合计</v>
          </cell>
          <cell r="C69">
            <v>1</v>
          </cell>
        </row>
        <row r="70">
          <cell r="F69">
            <v>0.103313001074605</v>
          </cell>
          <cell r="G69">
            <v>0.103313001074605</v>
          </cell>
          <cell r="H69">
            <v>4519.58831446503</v>
          </cell>
        </row>
        <row r="70">
          <cell r="J69">
            <v>1100</v>
          </cell>
          <cell r="K69">
            <v>100</v>
          </cell>
          <cell r="L69">
            <v>-450</v>
          </cell>
          <cell r="M69">
            <v>0.0144290950941478</v>
          </cell>
          <cell r="N69">
            <v>214.788912244369</v>
          </cell>
          <cell r="O69">
            <v>0</v>
          </cell>
          <cell r="P69">
            <v>5484</v>
          </cell>
        </row>
        <row r="71">
          <cell r="B70" t="str">
            <v>红河州本级</v>
          </cell>
          <cell r="C70">
            <v>2</v>
          </cell>
        </row>
        <row r="71">
          <cell r="P70">
            <v>0</v>
          </cell>
        </row>
        <row r="72">
          <cell r="B71" t="str">
            <v>县级小计</v>
          </cell>
          <cell r="C71">
            <v>3</v>
          </cell>
        </row>
        <row r="72">
          <cell r="F71">
            <v>0.103313001074605</v>
          </cell>
          <cell r="G71">
            <v>0.103313001074605</v>
          </cell>
          <cell r="H71">
            <v>4519.58831446503</v>
          </cell>
        </row>
        <row r="72">
          <cell r="J71">
            <v>1100</v>
          </cell>
          <cell r="K71">
            <v>100</v>
          </cell>
          <cell r="L71">
            <v>-450</v>
          </cell>
          <cell r="M71">
            <v>0.0144290950941478</v>
          </cell>
          <cell r="N71">
            <v>214.788912244369</v>
          </cell>
          <cell r="O71">
            <v>0</v>
          </cell>
          <cell r="P71">
            <v>5484</v>
          </cell>
        </row>
        <row r="73">
          <cell r="B72" t="str">
            <v>个旧市</v>
          </cell>
          <cell r="C72" t="str">
            <v>非贫困县</v>
          </cell>
        </row>
        <row r="73">
          <cell r="F72">
            <v>0.00404618323094265</v>
          </cell>
          <cell r="G72">
            <v>0.00404618323094265</v>
          </cell>
          <cell r="H72">
            <v>177.00659412214</v>
          </cell>
          <cell r="I72" t="str">
            <v>A</v>
          </cell>
          <cell r="J72">
            <v>100</v>
          </cell>
        </row>
        <row r="73">
          <cell r="L72">
            <v>0</v>
          </cell>
        </row>
        <row r="73">
          <cell r="P72">
            <v>277</v>
          </cell>
        </row>
        <row r="74">
          <cell r="B73" t="str">
            <v>开远市</v>
          </cell>
          <cell r="C73" t="str">
            <v>非贫困县</v>
          </cell>
        </row>
        <row r="74">
          <cell r="F73">
            <v>0.00472415732477125</v>
          </cell>
          <cell r="G73">
            <v>0.00472415732477125</v>
          </cell>
          <cell r="H73">
            <v>206.665627933045</v>
          </cell>
          <cell r="I73" t="str">
            <v>A</v>
          </cell>
          <cell r="J73">
            <v>100</v>
          </cell>
        </row>
        <row r="74">
          <cell r="L73">
            <v>0</v>
          </cell>
        </row>
        <row r="74">
          <cell r="P73">
            <v>307</v>
          </cell>
        </row>
        <row r="75">
          <cell r="B74" t="str">
            <v>蒙自市</v>
          </cell>
          <cell r="C74" t="str">
            <v>非贫困县</v>
          </cell>
        </row>
        <row r="75">
          <cell r="F74">
            <v>0.00552003809827251</v>
          </cell>
          <cell r="G74">
            <v>0.00552003809827251</v>
          </cell>
          <cell r="H74">
            <v>241.482673282702</v>
          </cell>
          <cell r="I74" t="str">
            <v>A</v>
          </cell>
          <cell r="J74">
            <v>100</v>
          </cell>
        </row>
        <row r="75">
          <cell r="L74">
            <v>-50</v>
          </cell>
        </row>
        <row r="75">
          <cell r="P74">
            <v>291</v>
          </cell>
        </row>
        <row r="76">
          <cell r="B75" t="str">
            <v>建水县</v>
          </cell>
          <cell r="C75" t="str">
            <v>非贫困县</v>
          </cell>
        </row>
        <row r="76">
          <cell r="F75">
            <v>0.00516669107726438</v>
          </cell>
          <cell r="G75">
            <v>0.00516669107726438</v>
          </cell>
          <cell r="H75">
            <v>226.024956920884</v>
          </cell>
          <cell r="I75" t="str">
            <v>A</v>
          </cell>
          <cell r="J75">
            <v>100</v>
          </cell>
        </row>
        <row r="76">
          <cell r="L75">
            <v>-100</v>
          </cell>
        </row>
        <row r="76">
          <cell r="P75">
            <v>226</v>
          </cell>
        </row>
        <row r="77">
          <cell r="B76" t="str">
            <v>石屏县</v>
          </cell>
          <cell r="C76" t="str">
            <v>贫困</v>
          </cell>
          <cell r="D76">
            <v>2017</v>
          </cell>
        </row>
        <row r="77">
          <cell r="F76">
            <v>0.00413764513163678</v>
          </cell>
          <cell r="G76">
            <v>0.00413764513163678</v>
          </cell>
          <cell r="H76">
            <v>181.007737572589</v>
          </cell>
          <cell r="I76" t="str">
            <v>A</v>
          </cell>
          <cell r="J76">
            <v>200</v>
          </cell>
        </row>
        <row r="77">
          <cell r="L76">
            <v>0</v>
          </cell>
          <cell r="M76">
            <v>0.00663115369625602</v>
          </cell>
          <cell r="N76">
            <v>98.7101602734414</v>
          </cell>
        </row>
        <row r="77">
          <cell r="P76">
            <v>480</v>
          </cell>
        </row>
        <row r="78">
          <cell r="B77" t="str">
            <v>弥勒市</v>
          </cell>
          <cell r="C77" t="str">
            <v>非贫困县</v>
          </cell>
        </row>
        <row r="78">
          <cell r="F77">
            <v>0.00539202228796821</v>
          </cell>
          <cell r="G77">
            <v>0.00539202228796821</v>
          </cell>
          <cell r="H77">
            <v>235.882422062623</v>
          </cell>
          <cell r="I77" t="str">
            <v>A</v>
          </cell>
          <cell r="J77">
            <v>100</v>
          </cell>
        </row>
        <row r="78">
          <cell r="L77">
            <v>0</v>
          </cell>
        </row>
        <row r="78">
          <cell r="P77">
            <v>336</v>
          </cell>
        </row>
        <row r="79">
          <cell r="B78" t="str">
            <v>泸西县</v>
          </cell>
          <cell r="C78" t="str">
            <v>贫困</v>
          </cell>
          <cell r="D78">
            <v>2018</v>
          </cell>
        </row>
        <row r="79">
          <cell r="F78">
            <v>0.00503789063444009</v>
          </cell>
          <cell r="G78">
            <v>0.00503789063444009</v>
          </cell>
          <cell r="H78">
            <v>220.390380727843</v>
          </cell>
        </row>
        <row r="79">
          <cell r="L78">
            <v>0</v>
          </cell>
          <cell r="M78">
            <v>0.00779794139789182</v>
          </cell>
          <cell r="N78">
            <v>116.078751970928</v>
          </cell>
        </row>
        <row r="79">
          <cell r="P78">
            <v>336</v>
          </cell>
        </row>
        <row r="80">
          <cell r="B79" t="str">
            <v>屏边县</v>
          </cell>
          <cell r="C79" t="str">
            <v>贫困</v>
          </cell>
          <cell r="D79">
            <v>2020</v>
          </cell>
          <cell r="E79" t="str">
            <v>省级</v>
          </cell>
          <cell r="F79">
            <v>0.00734335410928106</v>
          </cell>
          <cell r="G79">
            <v>0.00734335410928106</v>
          </cell>
          <cell r="H79">
            <v>321.246475042564</v>
          </cell>
        </row>
        <row r="80">
          <cell r="L79">
            <v>-50</v>
          </cell>
        </row>
        <row r="80">
          <cell r="P79">
            <v>271</v>
          </cell>
        </row>
        <row r="81">
          <cell r="B80" t="str">
            <v>河口县</v>
          </cell>
          <cell r="C80" t="str">
            <v>非贫困县</v>
          </cell>
        </row>
        <row r="81">
          <cell r="F80">
            <v>0.00392353207583252</v>
          </cell>
          <cell r="G80">
            <v>0.00392353207583252</v>
          </cell>
          <cell r="H80">
            <v>171.641028107935</v>
          </cell>
        </row>
        <row r="81">
          <cell r="L80">
            <v>0</v>
          </cell>
        </row>
        <row r="81">
          <cell r="P80">
            <v>172</v>
          </cell>
        </row>
        <row r="82">
          <cell r="B81" t="str">
            <v>金平县</v>
          </cell>
          <cell r="C81" t="str">
            <v>深度贫困</v>
          </cell>
          <cell r="D81">
            <v>2019</v>
          </cell>
          <cell r="E81" t="str">
            <v>国家</v>
          </cell>
          <cell r="F81">
            <v>0.0179481045431277</v>
          </cell>
          <cell r="G81">
            <v>0.0179481045431277</v>
          </cell>
          <cell r="H81">
            <v>785.167817372175</v>
          </cell>
          <cell r="I81" t="str">
            <v>A</v>
          </cell>
          <cell r="J81">
            <v>200</v>
          </cell>
        </row>
        <row r="82">
          <cell r="L81">
            <v>-150</v>
          </cell>
        </row>
        <row r="82">
          <cell r="P81">
            <v>835</v>
          </cell>
        </row>
        <row r="83">
          <cell r="B82" t="str">
            <v>元阳县</v>
          </cell>
          <cell r="C82" t="str">
            <v>深度贫困</v>
          </cell>
          <cell r="D82">
            <v>2019</v>
          </cell>
          <cell r="E82" t="str">
            <v>国家</v>
          </cell>
          <cell r="F82">
            <v>0.0151746170007171</v>
          </cell>
          <cell r="G82">
            <v>0.0151746170007171</v>
          </cell>
          <cell r="H82">
            <v>663.837280492877</v>
          </cell>
        </row>
        <row r="83">
          <cell r="L82">
            <v>-50</v>
          </cell>
        </row>
        <row r="83">
          <cell r="P82">
            <v>614</v>
          </cell>
        </row>
        <row r="84">
          <cell r="B83" t="str">
            <v>红河县</v>
          </cell>
          <cell r="C83" t="str">
            <v>深度贫困</v>
          </cell>
          <cell r="D83">
            <v>2019</v>
          </cell>
          <cell r="E83" t="str">
            <v>国家</v>
          </cell>
          <cell r="F83">
            <v>0.0130163089201666</v>
          </cell>
          <cell r="G83">
            <v>0.0130163089201666</v>
          </cell>
          <cell r="H83">
            <v>569.418728341562</v>
          </cell>
        </row>
        <row r="84">
          <cell r="L83">
            <v>-50</v>
          </cell>
        </row>
        <row r="84">
          <cell r="P83">
            <v>519</v>
          </cell>
        </row>
        <row r="85">
          <cell r="B84" t="str">
            <v>绿春县</v>
          </cell>
          <cell r="C84" t="str">
            <v>深度贫困</v>
          </cell>
          <cell r="D84">
            <v>2019</v>
          </cell>
          <cell r="E84" t="str">
            <v>国家</v>
          </cell>
          <cell r="F84">
            <v>0.0118824566401841</v>
          </cell>
          <cell r="G84">
            <v>0.0118824566401841</v>
          </cell>
          <cell r="H84">
            <v>519.816592486096</v>
          </cell>
          <cell r="I84" t="str">
            <v>A</v>
          </cell>
          <cell r="J84">
            <v>200</v>
          </cell>
          <cell r="K84">
            <v>100</v>
          </cell>
          <cell r="L84">
            <v>0</v>
          </cell>
        </row>
        <row r="85">
          <cell r="P84">
            <v>820</v>
          </cell>
        </row>
        <row r="86">
          <cell r="B85" t="str">
            <v>文山州合计</v>
          </cell>
          <cell r="C85">
            <v>1</v>
          </cell>
        </row>
        <row r="86">
          <cell r="F85">
            <v>0.0672114806999041</v>
          </cell>
          <cell r="G85">
            <v>0.0609909396677395</v>
          </cell>
          <cell r="H85">
            <v>2668.14375096413</v>
          </cell>
        </row>
        <row r="86">
          <cell r="J85">
            <v>200</v>
          </cell>
          <cell r="K85">
            <v>0</v>
          </cell>
          <cell r="L85">
            <v>-200</v>
          </cell>
          <cell r="M85">
            <v>0.0106988642300874</v>
          </cell>
          <cell r="N85">
            <v>159.261367066788</v>
          </cell>
          <cell r="O85">
            <v>0</v>
          </cell>
          <cell r="P85">
            <v>2826</v>
          </cell>
        </row>
        <row r="87">
          <cell r="B86" t="str">
            <v>文山州本级</v>
          </cell>
          <cell r="C86">
            <v>2</v>
          </cell>
        </row>
        <row r="87">
          <cell r="P86">
            <v>0</v>
          </cell>
        </row>
        <row r="88">
          <cell r="B87" t="str">
            <v>县级小计</v>
          </cell>
          <cell r="C87">
            <v>3</v>
          </cell>
        </row>
        <row r="88">
          <cell r="F87">
            <v>0.0672114806999041</v>
          </cell>
          <cell r="G87">
            <v>0.0609909396677395</v>
          </cell>
          <cell r="H87">
            <v>2668.14375096413</v>
          </cell>
        </row>
        <row r="88">
          <cell r="J87">
            <v>200</v>
          </cell>
          <cell r="K87">
            <v>0</v>
          </cell>
          <cell r="L87">
            <v>-200</v>
          </cell>
          <cell r="M87">
            <v>0.0106988642300874</v>
          </cell>
          <cell r="N87">
            <v>159.261367066788</v>
          </cell>
          <cell r="O87">
            <v>0</v>
          </cell>
          <cell r="P87">
            <v>2826</v>
          </cell>
        </row>
        <row r="89">
          <cell r="B88" t="str">
            <v>文山市</v>
          </cell>
          <cell r="C88" t="str">
            <v>贫困</v>
          </cell>
          <cell r="D88">
            <v>2019</v>
          </cell>
        </row>
        <row r="89">
          <cell r="F88">
            <v>0.00635718282774431</v>
          </cell>
          <cell r="G88">
            <v>0.00635718282774431</v>
          </cell>
          <cell r="H88">
            <v>278.104874723782</v>
          </cell>
        </row>
        <row r="89">
          <cell r="L88">
            <v>-50</v>
          </cell>
        </row>
        <row r="89">
          <cell r="P88">
            <v>228</v>
          </cell>
        </row>
        <row r="90">
          <cell r="B89" t="str">
            <v>砚山县</v>
          </cell>
          <cell r="C89" t="str">
            <v>贫困</v>
          </cell>
          <cell r="D89">
            <v>2018</v>
          </cell>
        </row>
        <row r="90">
          <cell r="F89">
            <v>0.00637844210631295</v>
          </cell>
          <cell r="G89">
            <v>0.00637844210631295</v>
          </cell>
          <cell r="H89">
            <v>279.034895011581</v>
          </cell>
          <cell r="I89" t="str">
            <v>A</v>
          </cell>
          <cell r="J89">
            <v>200</v>
          </cell>
        </row>
        <row r="90">
          <cell r="L89">
            <v>0</v>
          </cell>
        </row>
        <row r="90">
          <cell r="P89">
            <v>479</v>
          </cell>
        </row>
        <row r="91">
          <cell r="B90" t="str">
            <v>西畴县</v>
          </cell>
          <cell r="C90" t="str">
            <v>贫困</v>
          </cell>
          <cell r="D90">
            <v>2018</v>
          </cell>
          <cell r="E90" t="str">
            <v>省级</v>
          </cell>
          <cell r="F90">
            <v>0.00565195789553609</v>
          </cell>
          <cell r="G90">
            <v>0.00565195789553609</v>
          </cell>
          <cell r="H90">
            <v>247.253710499291</v>
          </cell>
        </row>
        <row r="91">
          <cell r="L90">
            <v>-50</v>
          </cell>
        </row>
        <row r="91">
          <cell r="P90">
            <v>197</v>
          </cell>
        </row>
        <row r="92">
          <cell r="B91" t="str">
            <v>麻栗坡县</v>
          </cell>
          <cell r="C91" t="str">
            <v>贫困</v>
          </cell>
          <cell r="D91">
            <v>2019</v>
          </cell>
          <cell r="E91" t="str">
            <v>省级</v>
          </cell>
          <cell r="F91">
            <v>0.00622054103216459</v>
          </cell>
          <cell r="G91">
            <v>0</v>
          </cell>
          <cell r="H91">
            <v>0</v>
          </cell>
        </row>
        <row r="92">
          <cell r="P91">
            <v>0</v>
          </cell>
        </row>
        <row r="93">
          <cell r="B92" t="str">
            <v>马关县</v>
          </cell>
          <cell r="C92" t="str">
            <v>深度贫困</v>
          </cell>
          <cell r="D92">
            <v>2019</v>
          </cell>
          <cell r="E92" t="str">
            <v>国家</v>
          </cell>
          <cell r="F92">
            <v>0.01203383078311</v>
          </cell>
          <cell r="G92">
            <v>0.01203383078311</v>
          </cell>
          <cell r="H92">
            <v>526.438690386301</v>
          </cell>
        </row>
        <row r="93">
          <cell r="L92">
            <v>0</v>
          </cell>
        </row>
        <row r="93">
          <cell r="P92">
            <v>526</v>
          </cell>
        </row>
        <row r="94">
          <cell r="B93" t="str">
            <v>丘北县</v>
          </cell>
          <cell r="C93" t="str">
            <v>贫困</v>
          </cell>
          <cell r="D93">
            <v>2019</v>
          </cell>
          <cell r="E93" t="str">
            <v>省级</v>
          </cell>
          <cell r="F93">
            <v>0.00858393661696967</v>
          </cell>
          <cell r="G93">
            <v>0.00858393661696967</v>
          </cell>
          <cell r="H93">
            <v>375.517691119525</v>
          </cell>
        </row>
        <row r="94">
          <cell r="L93">
            <v>0</v>
          </cell>
          <cell r="M93">
            <v>0.0106988642300874</v>
          </cell>
          <cell r="N93">
            <v>159.261367066788</v>
          </cell>
        </row>
        <row r="94">
          <cell r="P93">
            <v>535</v>
          </cell>
        </row>
        <row r="95">
          <cell r="B94" t="str">
            <v>广南县</v>
          </cell>
          <cell r="C94" t="str">
            <v>深度贫困</v>
          </cell>
          <cell r="D94">
            <v>2020</v>
          </cell>
          <cell r="E94" t="str">
            <v>国家</v>
          </cell>
          <cell r="F94">
            <v>0.0153953711200168</v>
          </cell>
          <cell r="G94">
            <v>0.0153953711200168</v>
          </cell>
          <cell r="H94">
            <v>673.494513634682</v>
          </cell>
        </row>
        <row r="95">
          <cell r="L94">
            <v>0</v>
          </cell>
        </row>
        <row r="95">
          <cell r="P94">
            <v>673</v>
          </cell>
        </row>
        <row r="96">
          <cell r="B95" t="str">
            <v>富宁县</v>
          </cell>
          <cell r="C95" t="str">
            <v>贫困</v>
          </cell>
          <cell r="D95">
            <v>2019</v>
          </cell>
          <cell r="E95" t="str">
            <v>省级</v>
          </cell>
          <cell r="F95">
            <v>0.00659021831804965</v>
          </cell>
          <cell r="G95">
            <v>0.00659021831804965</v>
          </cell>
          <cell r="H95">
            <v>288.299375588964</v>
          </cell>
        </row>
        <row r="96">
          <cell r="L95">
            <v>-100</v>
          </cell>
        </row>
        <row r="96">
          <cell r="P95">
            <v>188</v>
          </cell>
        </row>
        <row r="97">
          <cell r="B96" t="str">
            <v>普洱市合计</v>
          </cell>
          <cell r="C96">
            <v>1</v>
          </cell>
        </row>
        <row r="97">
          <cell r="F96">
            <v>0.0714138018816458</v>
          </cell>
          <cell r="G96">
            <v>0.0714138018816458</v>
          </cell>
          <cell r="H96">
            <v>3124.10810951793</v>
          </cell>
        </row>
        <row r="97">
          <cell r="J96">
            <v>0</v>
          </cell>
          <cell r="K96">
            <v>200</v>
          </cell>
          <cell r="L96">
            <v>-50</v>
          </cell>
          <cell r="M96">
            <v>0</v>
          </cell>
          <cell r="N96">
            <v>0</v>
          </cell>
          <cell r="O96">
            <v>500</v>
          </cell>
          <cell r="P96">
            <v>3775</v>
          </cell>
        </row>
        <row r="98">
          <cell r="B97" t="str">
            <v>普洱市本级</v>
          </cell>
          <cell r="C97">
            <v>2</v>
          </cell>
        </row>
        <row r="98">
          <cell r="P97">
            <v>0</v>
          </cell>
        </row>
        <row r="99">
          <cell r="B98" t="str">
            <v>县级小计</v>
          </cell>
          <cell r="C98">
            <v>3</v>
          </cell>
        </row>
        <row r="99">
          <cell r="F98">
            <v>0.0714138018816458</v>
          </cell>
          <cell r="G98">
            <v>0.0714138018816458</v>
          </cell>
          <cell r="H98">
            <v>3124.10810951793</v>
          </cell>
        </row>
        <row r="99">
          <cell r="J98">
            <v>0</v>
          </cell>
          <cell r="K98">
            <v>200</v>
          </cell>
          <cell r="L98">
            <v>-50</v>
          </cell>
          <cell r="M98">
            <v>0</v>
          </cell>
          <cell r="N98">
            <v>0</v>
          </cell>
          <cell r="O98">
            <v>500</v>
          </cell>
          <cell r="P98">
            <v>3775</v>
          </cell>
        </row>
        <row r="100">
          <cell r="B99" t="str">
            <v>思茅区</v>
          </cell>
          <cell r="C99" t="str">
            <v>非贫困县</v>
          </cell>
        </row>
        <row r="100">
          <cell r="F99">
            <v>0.00418662702274777</v>
          </cell>
          <cell r="G99">
            <v>0.00418662702274777</v>
          </cell>
          <cell r="H99">
            <v>183.150526770299</v>
          </cell>
        </row>
        <row r="100">
          <cell r="L99">
            <v>0</v>
          </cell>
        </row>
        <row r="100">
          <cell r="P99">
            <v>183</v>
          </cell>
        </row>
        <row r="101">
          <cell r="B100" t="str">
            <v>宁洱县</v>
          </cell>
          <cell r="C100" t="str">
            <v>贫困</v>
          </cell>
          <cell r="D100">
            <v>2017</v>
          </cell>
        </row>
        <row r="101">
          <cell r="F100">
            <v>0.00412911139035098</v>
          </cell>
          <cell r="G100">
            <v>0.00412911139035098</v>
          </cell>
          <cell r="H100">
            <v>180.634415754495</v>
          </cell>
        </row>
        <row r="101">
          <cell r="L100">
            <v>0</v>
          </cell>
        </row>
        <row r="101">
          <cell r="P100">
            <v>181</v>
          </cell>
        </row>
        <row r="102">
          <cell r="B101" t="str">
            <v>墨江县</v>
          </cell>
          <cell r="C101" t="str">
            <v>贫困</v>
          </cell>
          <cell r="D101">
            <v>2019</v>
          </cell>
          <cell r="E101" t="str">
            <v>省级</v>
          </cell>
          <cell r="F101">
            <v>0.00887141337526212</v>
          </cell>
          <cell r="G101">
            <v>0.00887141337526212</v>
          </cell>
          <cell r="H101">
            <v>388.093810135955</v>
          </cell>
        </row>
        <row r="102">
          <cell r="L101">
            <v>0</v>
          </cell>
        </row>
        <row r="102">
          <cell r="P101">
            <v>388</v>
          </cell>
        </row>
        <row r="103">
          <cell r="B102" t="str">
            <v>景谷县</v>
          </cell>
          <cell r="C102" t="str">
            <v>贫困</v>
          </cell>
          <cell r="D102">
            <v>2018</v>
          </cell>
        </row>
        <row r="103">
          <cell r="F102">
            <v>0.00583376262803927</v>
          </cell>
          <cell r="G102">
            <v>0.00583376262803927</v>
          </cell>
          <cell r="H102">
            <v>255.207041986995</v>
          </cell>
        </row>
        <row r="103">
          <cell r="L102">
            <v>0</v>
          </cell>
        </row>
        <row r="103">
          <cell r="P102">
            <v>255</v>
          </cell>
        </row>
        <row r="104">
          <cell r="B103" t="str">
            <v>镇沅县</v>
          </cell>
          <cell r="C103" t="str">
            <v>贫困</v>
          </cell>
          <cell r="D103">
            <v>2018</v>
          </cell>
        </row>
        <row r="104">
          <cell r="F103">
            <v>0.00507367469542873</v>
          </cell>
          <cell r="G103">
            <v>0.00507367469542873</v>
          </cell>
          <cell r="H103">
            <v>221.9558102692</v>
          </cell>
        </row>
        <row r="104">
          <cell r="L103">
            <v>0</v>
          </cell>
        </row>
        <row r="104">
          <cell r="P103">
            <v>222</v>
          </cell>
        </row>
        <row r="105">
          <cell r="B104" t="str">
            <v>景东县</v>
          </cell>
          <cell r="C104" t="str">
            <v>贫困</v>
          </cell>
          <cell r="D104">
            <v>2019</v>
          </cell>
          <cell r="E104" t="str">
            <v>省级</v>
          </cell>
          <cell r="F104">
            <v>0.00755729169911785</v>
          </cell>
          <cell r="G104">
            <v>0.00755729169911785</v>
          </cell>
          <cell r="H104">
            <v>330.60550847489</v>
          </cell>
        </row>
        <row r="105">
          <cell r="L104">
            <v>-50</v>
          </cell>
        </row>
        <row r="105">
          <cell r="P104">
            <v>281</v>
          </cell>
        </row>
        <row r="106">
          <cell r="B105" t="str">
            <v>江城县</v>
          </cell>
          <cell r="C105" t="str">
            <v>深度贫困</v>
          </cell>
          <cell r="D105">
            <v>2019</v>
          </cell>
          <cell r="E105" t="str">
            <v>省级</v>
          </cell>
          <cell r="F105">
            <v>0.00605565287374594</v>
          </cell>
          <cell r="G105">
            <v>0.00605565287374594</v>
          </cell>
          <cell r="H105">
            <v>264.913976749885</v>
          </cell>
        </row>
        <row r="106">
          <cell r="K105">
            <v>100</v>
          </cell>
          <cell r="L105">
            <v>0</v>
          </cell>
        </row>
        <row r="106">
          <cell r="P105">
            <v>365</v>
          </cell>
        </row>
        <row r="107">
          <cell r="B106" t="str">
            <v>澜沧县</v>
          </cell>
          <cell r="C106" t="str">
            <v>深度贫困</v>
          </cell>
          <cell r="D106">
            <v>2020</v>
          </cell>
          <cell r="E106" t="str">
            <v>国家</v>
          </cell>
          <cell r="F106">
            <v>0.0186210167900399</v>
          </cell>
          <cell r="G106">
            <v>0.0186210167900399</v>
          </cell>
          <cell r="H106">
            <v>814.605412797446</v>
          </cell>
        </row>
        <row r="107">
          <cell r="L106">
            <v>0</v>
          </cell>
        </row>
        <row r="107">
          <cell r="P106">
            <v>815</v>
          </cell>
        </row>
        <row r="108">
          <cell r="B107" t="str">
            <v>孟连县</v>
          </cell>
          <cell r="C107" t="str">
            <v>贫困</v>
          </cell>
          <cell r="D107">
            <v>2018</v>
          </cell>
          <cell r="E107" t="str">
            <v>省级</v>
          </cell>
          <cell r="F107">
            <v>0.00489906081366651</v>
          </cell>
          <cell r="G107">
            <v>0.00489906081366651</v>
          </cell>
          <cell r="H107">
            <v>214.317053758913</v>
          </cell>
        </row>
        <row r="108">
          <cell r="L107">
            <v>0</v>
          </cell>
        </row>
        <row r="108">
          <cell r="P107">
            <v>214</v>
          </cell>
        </row>
        <row r="109">
          <cell r="B108" t="str">
            <v>西盟县</v>
          </cell>
          <cell r="C108" t="str">
            <v>贫困</v>
          </cell>
          <cell r="D108">
            <v>2018</v>
          </cell>
          <cell r="E108" t="str">
            <v>省级</v>
          </cell>
          <cell r="F108">
            <v>0.00618619059324678</v>
          </cell>
          <cell r="G108">
            <v>0.00618619059324678</v>
          </cell>
          <cell r="H108">
            <v>270.62455281985</v>
          </cell>
        </row>
        <row r="109">
          <cell r="K108">
            <v>100</v>
          </cell>
          <cell r="L108">
            <v>0</v>
          </cell>
        </row>
        <row r="109">
          <cell r="O108">
            <v>500</v>
          </cell>
          <cell r="P108">
            <v>871</v>
          </cell>
        </row>
        <row r="110">
          <cell r="B109" t="str">
            <v>西双版纳州合计</v>
          </cell>
          <cell r="C109">
            <v>1</v>
          </cell>
        </row>
        <row r="110">
          <cell r="F109">
            <v>0.0139018865892694</v>
          </cell>
          <cell r="G109">
            <v>0.0139018865892694</v>
          </cell>
          <cell r="H109">
            <v>608.15970424195</v>
          </cell>
        </row>
        <row r="110">
          <cell r="J109">
            <v>0</v>
          </cell>
          <cell r="K109">
            <v>100</v>
          </cell>
          <cell r="L109">
            <v>-560</v>
          </cell>
          <cell r="M109">
            <v>0</v>
          </cell>
          <cell r="N109">
            <v>0</v>
          </cell>
          <cell r="O109">
            <v>0</v>
          </cell>
          <cell r="P109">
            <v>149</v>
          </cell>
        </row>
        <row r="111">
          <cell r="B110" t="str">
            <v>西双版纳州本级</v>
          </cell>
          <cell r="C110">
            <v>2</v>
          </cell>
        </row>
        <row r="111">
          <cell r="P110">
            <v>0</v>
          </cell>
        </row>
        <row r="112">
          <cell r="B111" t="str">
            <v>县级小计</v>
          </cell>
          <cell r="C111">
            <v>3</v>
          </cell>
        </row>
        <row r="112">
          <cell r="F111">
            <v>0.0139018865892694</v>
          </cell>
          <cell r="G111">
            <v>0.0139018865892694</v>
          </cell>
          <cell r="H111">
            <v>608.15970424195</v>
          </cell>
        </row>
        <row r="112">
          <cell r="J111">
            <v>0</v>
          </cell>
          <cell r="K111">
            <v>100</v>
          </cell>
          <cell r="L111">
            <v>-560</v>
          </cell>
          <cell r="M111">
            <v>0</v>
          </cell>
          <cell r="N111">
            <v>0</v>
          </cell>
          <cell r="O111">
            <v>0</v>
          </cell>
          <cell r="P111">
            <v>149</v>
          </cell>
        </row>
        <row r="113">
          <cell r="B112" t="str">
            <v>景洪市</v>
          </cell>
          <cell r="C112" t="str">
            <v>非贫困县</v>
          </cell>
        </row>
        <row r="113">
          <cell r="F112">
            <v>0.00369593168277788</v>
          </cell>
          <cell r="G112">
            <v>0.00369593168277788</v>
          </cell>
          <cell r="H112">
            <v>161.684294046221</v>
          </cell>
        </row>
        <row r="113">
          <cell r="L112">
            <v>-160</v>
          </cell>
        </row>
        <row r="113">
          <cell r="P112">
            <v>2</v>
          </cell>
        </row>
        <row r="114">
          <cell r="B113" t="str">
            <v>勐海县</v>
          </cell>
          <cell r="C113" t="str">
            <v>贫困</v>
          </cell>
          <cell r="D113">
            <v>2017</v>
          </cell>
        </row>
        <row r="114">
          <cell r="F113">
            <v>0.00564007980974945</v>
          </cell>
          <cell r="G113">
            <v>0.00564007980974945</v>
          </cell>
          <cell r="H113">
            <v>246.734085116608</v>
          </cell>
        </row>
        <row r="114">
          <cell r="K113">
            <v>100</v>
          </cell>
          <cell r="L113">
            <v>-250</v>
          </cell>
        </row>
        <row r="114">
          <cell r="P113">
            <v>97</v>
          </cell>
        </row>
        <row r="115">
          <cell r="B114" t="str">
            <v>勐腊县</v>
          </cell>
          <cell r="C114" t="str">
            <v>贫困</v>
          </cell>
          <cell r="D114">
            <v>2018</v>
          </cell>
        </row>
        <row r="115">
          <cell r="F114">
            <v>0.00456587509674203</v>
          </cell>
          <cell r="G114">
            <v>0.00456587509674203</v>
          </cell>
          <cell r="H114">
            <v>199.74132507912</v>
          </cell>
        </row>
        <row r="115">
          <cell r="L114">
            <v>-150</v>
          </cell>
        </row>
        <row r="115">
          <cell r="P114">
            <v>50</v>
          </cell>
        </row>
        <row r="116">
          <cell r="B115" t="str">
            <v>楚雄州合计</v>
          </cell>
          <cell r="C115">
            <v>1</v>
          </cell>
        </row>
        <row r="116">
          <cell r="F115">
            <v>0.0586011134820079</v>
          </cell>
          <cell r="G115">
            <v>0.0586011134820079</v>
          </cell>
          <cell r="H115">
            <v>2563.59707832575</v>
          </cell>
        </row>
        <row r="116">
          <cell r="J115">
            <v>0</v>
          </cell>
          <cell r="K115">
            <v>0</v>
          </cell>
          <cell r="L115">
            <v>-150</v>
          </cell>
          <cell r="M115">
            <v>0.0204862244410578</v>
          </cell>
          <cell r="N115">
            <v>304.954249381409</v>
          </cell>
          <cell r="O115">
            <v>0</v>
          </cell>
          <cell r="P115">
            <v>2719</v>
          </cell>
        </row>
        <row r="117">
          <cell r="B116" t="str">
            <v>楚雄州本级</v>
          </cell>
          <cell r="C116">
            <v>2</v>
          </cell>
        </row>
        <row r="117">
          <cell r="P116">
            <v>0</v>
          </cell>
        </row>
        <row r="118">
          <cell r="B117" t="str">
            <v>县级小计</v>
          </cell>
          <cell r="C117">
            <v>3</v>
          </cell>
        </row>
        <row r="118">
          <cell r="F117">
            <v>0.0586011134820079</v>
          </cell>
          <cell r="G117">
            <v>0.0586011134820079</v>
          </cell>
          <cell r="H117">
            <v>2563.59707832575</v>
          </cell>
        </row>
        <row r="118">
          <cell r="J117">
            <v>0</v>
          </cell>
          <cell r="K117">
            <v>0</v>
          </cell>
          <cell r="L117">
            <v>-150</v>
          </cell>
          <cell r="M117">
            <v>0.0204862244410578</v>
          </cell>
          <cell r="N117">
            <v>304.954249381409</v>
          </cell>
          <cell r="O117">
            <v>0</v>
          </cell>
          <cell r="P117">
            <v>2719</v>
          </cell>
        </row>
        <row r="119">
          <cell r="B118" t="str">
            <v>楚雄市</v>
          </cell>
          <cell r="C118" t="str">
            <v>非贫困县</v>
          </cell>
        </row>
        <row r="119">
          <cell r="F118">
            <v>0.00485219503878527</v>
          </cell>
          <cell r="G118">
            <v>0.00485219503878527</v>
          </cell>
          <cell r="H118">
            <v>212.266837365057</v>
          </cell>
        </row>
        <row r="119">
          <cell r="L118">
            <v>-50</v>
          </cell>
        </row>
        <row r="119">
          <cell r="P118">
            <v>162</v>
          </cell>
        </row>
        <row r="120">
          <cell r="B119" t="str">
            <v>双柏县</v>
          </cell>
          <cell r="C119" t="str">
            <v>贫困</v>
          </cell>
          <cell r="D119">
            <v>2018</v>
          </cell>
        </row>
        <row r="120">
          <cell r="F119">
            <v>0.00441498314673516</v>
          </cell>
          <cell r="G119">
            <v>0.00441498314673516</v>
          </cell>
          <cell r="H119">
            <v>193.140321459978</v>
          </cell>
        </row>
        <row r="120">
          <cell r="L119">
            <v>0</v>
          </cell>
        </row>
        <row r="120">
          <cell r="P119">
            <v>193</v>
          </cell>
        </row>
        <row r="121">
          <cell r="B120" t="str">
            <v>牟定县</v>
          </cell>
          <cell r="C120" t="str">
            <v>贫困</v>
          </cell>
          <cell r="D120">
            <v>2017</v>
          </cell>
        </row>
        <row r="121">
          <cell r="F120">
            <v>0.00580295413005528</v>
          </cell>
          <cell r="G120">
            <v>0.00580295413005528</v>
          </cell>
          <cell r="H120">
            <v>253.859276207022</v>
          </cell>
        </row>
        <row r="121">
          <cell r="L120">
            <v>-50</v>
          </cell>
        </row>
        <row r="121">
          <cell r="P120">
            <v>204</v>
          </cell>
        </row>
        <row r="122">
          <cell r="B121" t="str">
            <v>南华县</v>
          </cell>
          <cell r="C121" t="str">
            <v>贫困</v>
          </cell>
          <cell r="D121">
            <v>2018</v>
          </cell>
        </row>
        <row r="122">
          <cell r="F121">
            <v>0.00627566504216094</v>
          </cell>
          <cell r="G121">
            <v>0.00627566504216094</v>
          </cell>
          <cell r="H121">
            <v>274.538752093411</v>
          </cell>
        </row>
        <row r="122">
          <cell r="L121">
            <v>0</v>
          </cell>
          <cell r="M121">
            <v>0.00900199069891455</v>
          </cell>
          <cell r="N121">
            <v>134.002013129568</v>
          </cell>
        </row>
        <row r="122">
          <cell r="P121">
            <v>409</v>
          </cell>
        </row>
        <row r="123">
          <cell r="B122" t="str">
            <v>姚安县</v>
          </cell>
          <cell r="C122" t="str">
            <v>贫困</v>
          </cell>
          <cell r="D122">
            <v>2017</v>
          </cell>
        </row>
        <row r="123">
          <cell r="F122">
            <v>0.00376177904841404</v>
          </cell>
          <cell r="G122">
            <v>0.00376177904841404</v>
          </cell>
          <cell r="H122">
            <v>164.564889723164</v>
          </cell>
        </row>
        <row r="123">
          <cell r="L122">
            <v>0</v>
          </cell>
        </row>
        <row r="123">
          <cell r="P122">
            <v>165</v>
          </cell>
        </row>
        <row r="124">
          <cell r="B123" t="str">
            <v>大姚县</v>
          </cell>
          <cell r="C123" t="str">
            <v>贫困</v>
          </cell>
          <cell r="D123">
            <v>2018</v>
          </cell>
        </row>
        <row r="124">
          <cell r="F123">
            <v>0.00542056873506406</v>
          </cell>
          <cell r="G123">
            <v>0.00542056873506406</v>
          </cell>
          <cell r="H123">
            <v>237.131230899574</v>
          </cell>
        </row>
        <row r="124">
          <cell r="L123">
            <v>0</v>
          </cell>
          <cell r="M123">
            <v>0.0114842337421433</v>
          </cell>
          <cell r="N123">
            <v>170.952236251841</v>
          </cell>
        </row>
        <row r="124">
          <cell r="P123">
            <v>408</v>
          </cell>
        </row>
        <row r="125">
          <cell r="B124" t="str">
            <v>永仁县</v>
          </cell>
          <cell r="C124" t="str">
            <v>贫困</v>
          </cell>
          <cell r="D124">
            <v>2018</v>
          </cell>
        </row>
        <row r="125">
          <cell r="F124">
            <v>0.00450502751463628</v>
          </cell>
          <cell r="G124">
            <v>0.00450502751463628</v>
          </cell>
          <cell r="H124">
            <v>197.079452728224</v>
          </cell>
        </row>
        <row r="125">
          <cell r="L124">
            <v>0</v>
          </cell>
        </row>
        <row r="125">
          <cell r="P124">
            <v>197</v>
          </cell>
        </row>
        <row r="126">
          <cell r="B125" t="str">
            <v>元谋县</v>
          </cell>
          <cell r="C125" t="str">
            <v>非贫困县</v>
          </cell>
        </row>
        <row r="126">
          <cell r="F125">
            <v>0.00533441360420034</v>
          </cell>
          <cell r="G125">
            <v>0.00533441360420034</v>
          </cell>
          <cell r="H125">
            <v>233.362240369508</v>
          </cell>
        </row>
        <row r="126">
          <cell r="L125">
            <v>-50</v>
          </cell>
        </row>
        <row r="126">
          <cell r="P125">
            <v>183</v>
          </cell>
        </row>
        <row r="127">
          <cell r="B126" t="str">
            <v>武定县</v>
          </cell>
          <cell r="C126" t="str">
            <v>深度贫困</v>
          </cell>
          <cell r="D126">
            <v>2019</v>
          </cell>
          <cell r="E126" t="str">
            <v>国家</v>
          </cell>
          <cell r="F126">
            <v>0.0128898791375551</v>
          </cell>
          <cell r="G126">
            <v>0.0128898791375551</v>
          </cell>
          <cell r="H126">
            <v>563.88786037579</v>
          </cell>
        </row>
        <row r="127">
          <cell r="L126">
            <v>0</v>
          </cell>
        </row>
        <row r="127">
          <cell r="P126">
            <v>564</v>
          </cell>
        </row>
        <row r="128">
          <cell r="B127" t="str">
            <v>禄丰市</v>
          </cell>
          <cell r="C127" t="str">
            <v>非贫困县</v>
          </cell>
        </row>
        <row r="128">
          <cell r="F127">
            <v>0.00534364808440151</v>
          </cell>
          <cell r="G127">
            <v>0.00534364808440151</v>
          </cell>
          <cell r="H127">
            <v>233.766217104026</v>
          </cell>
        </row>
        <row r="128">
          <cell r="L127">
            <v>0</v>
          </cell>
        </row>
        <row r="128">
          <cell r="P127">
            <v>234</v>
          </cell>
        </row>
        <row r="129">
          <cell r="B128" t="str">
            <v>大理州合计</v>
          </cell>
          <cell r="C128">
            <v>1</v>
          </cell>
        </row>
        <row r="129">
          <cell r="F128">
            <v>0.0621116008969501</v>
          </cell>
          <cell r="G128">
            <v>0.0540612719242984</v>
          </cell>
          <cell r="H128">
            <v>2364.9946310023</v>
          </cell>
        </row>
        <row r="129">
          <cell r="J128">
            <v>400</v>
          </cell>
          <cell r="K128">
            <v>0</v>
          </cell>
          <cell r="L128">
            <v>-350</v>
          </cell>
          <cell r="M128">
            <v>0.0360309822551202</v>
          </cell>
          <cell r="N128">
            <v>536.350716048178</v>
          </cell>
          <cell r="O128">
            <v>500</v>
          </cell>
          <cell r="P128">
            <v>3452</v>
          </cell>
        </row>
        <row r="130">
          <cell r="B129" t="str">
            <v>大理州本级</v>
          </cell>
          <cell r="C129">
            <v>2</v>
          </cell>
        </row>
        <row r="130">
          <cell r="P129">
            <v>0</v>
          </cell>
        </row>
        <row r="131">
          <cell r="B130" t="str">
            <v>县级小计</v>
          </cell>
          <cell r="C130">
            <v>3</v>
          </cell>
        </row>
        <row r="131">
          <cell r="F130">
            <v>0.0621116008969501</v>
          </cell>
          <cell r="G130">
            <v>0.0540612719242984</v>
          </cell>
          <cell r="H130">
            <v>2364.9946310023</v>
          </cell>
        </row>
        <row r="131">
          <cell r="J130">
            <v>400</v>
          </cell>
          <cell r="K130">
            <v>0</v>
          </cell>
          <cell r="L130">
            <v>-350</v>
          </cell>
          <cell r="M130">
            <v>0.0360309822551202</v>
          </cell>
          <cell r="N130">
            <v>536.350716048178</v>
          </cell>
          <cell r="O130">
            <v>500</v>
          </cell>
          <cell r="P130">
            <v>3452</v>
          </cell>
        </row>
        <row r="132">
          <cell r="B131" t="str">
            <v>大理市</v>
          </cell>
          <cell r="C131" t="str">
            <v>非贫困县</v>
          </cell>
        </row>
        <row r="132">
          <cell r="F131">
            <v>0.00160125548222986</v>
          </cell>
          <cell r="G131">
            <v>0</v>
          </cell>
          <cell r="H131">
            <v>0</v>
          </cell>
        </row>
        <row r="132">
          <cell r="L131">
            <v>0</v>
          </cell>
        </row>
        <row r="132">
          <cell r="P131">
            <v>0</v>
          </cell>
        </row>
        <row r="133">
          <cell r="B132" t="str">
            <v>漾濞县</v>
          </cell>
          <cell r="C132" t="str">
            <v>贫困</v>
          </cell>
          <cell r="D132">
            <v>2018</v>
          </cell>
        </row>
        <row r="133">
          <cell r="F132">
            <v>0.00245315107094489</v>
          </cell>
          <cell r="G132">
            <v>0</v>
          </cell>
          <cell r="H132">
            <v>0</v>
          </cell>
        </row>
        <row r="133">
          <cell r="P132">
            <v>0</v>
          </cell>
        </row>
        <row r="134">
          <cell r="B133" t="str">
            <v>祥云县</v>
          </cell>
          <cell r="C133" t="str">
            <v>贫困</v>
          </cell>
          <cell r="D133">
            <v>2017</v>
          </cell>
        </row>
        <row r="134">
          <cell r="F133">
            <v>0.00532572376796502</v>
          </cell>
          <cell r="G133">
            <v>0.00532572376796502</v>
          </cell>
          <cell r="H133">
            <v>232.982089934468</v>
          </cell>
        </row>
        <row r="134">
          <cell r="L133">
            <v>0</v>
          </cell>
        </row>
        <row r="134">
          <cell r="P133">
            <v>233</v>
          </cell>
        </row>
        <row r="135">
          <cell r="B134" t="str">
            <v>宾川县</v>
          </cell>
          <cell r="C134" t="str">
            <v>贫困</v>
          </cell>
          <cell r="D134">
            <v>2017</v>
          </cell>
        </row>
        <row r="135">
          <cell r="F134">
            <v>0.00497661093989762</v>
          </cell>
          <cell r="G134">
            <v>0.00497661093989762</v>
          </cell>
          <cell r="H134">
            <v>217.709604944666</v>
          </cell>
        </row>
        <row r="135">
          <cell r="L134">
            <v>0</v>
          </cell>
        </row>
        <row r="135">
          <cell r="O134">
            <v>500</v>
          </cell>
          <cell r="P134">
            <v>718</v>
          </cell>
        </row>
        <row r="136">
          <cell r="B135" t="str">
            <v>弥渡县</v>
          </cell>
          <cell r="C135" t="str">
            <v>贫困</v>
          </cell>
          <cell r="D135">
            <v>2019</v>
          </cell>
          <cell r="E135" t="str">
            <v>省级</v>
          </cell>
          <cell r="F135">
            <v>0.00831556264664882</v>
          </cell>
          <cell r="G135">
            <v>0.00831556264664882</v>
          </cell>
          <cell r="H135">
            <v>363.777253347392</v>
          </cell>
        </row>
        <row r="136">
          <cell r="L135">
            <v>-50</v>
          </cell>
        </row>
        <row r="136">
          <cell r="P135">
            <v>314</v>
          </cell>
        </row>
        <row r="137">
          <cell r="B136" t="str">
            <v>南涧县</v>
          </cell>
          <cell r="C136" t="str">
            <v>贫困</v>
          </cell>
          <cell r="D136">
            <v>2018</v>
          </cell>
          <cell r="E136" t="str">
            <v>省级</v>
          </cell>
          <cell r="F136">
            <v>0.00754645096326806</v>
          </cell>
          <cell r="G136">
            <v>0.00754645096326806</v>
          </cell>
          <cell r="H136">
            <v>330.131263582599</v>
          </cell>
        </row>
        <row r="137">
          <cell r="L136">
            <v>0</v>
          </cell>
        </row>
        <row r="137">
          <cell r="P136">
            <v>330</v>
          </cell>
        </row>
        <row r="138">
          <cell r="B137" t="str">
            <v>巍山县</v>
          </cell>
          <cell r="C137" t="str">
            <v>贫困</v>
          </cell>
          <cell r="D137">
            <v>2017</v>
          </cell>
          <cell r="E137" t="str">
            <v>省级</v>
          </cell>
          <cell r="F137">
            <v>0.00534259189804451</v>
          </cell>
          <cell r="G137">
            <v>0.00534259189804451</v>
          </cell>
          <cell r="H137">
            <v>233.720012585065</v>
          </cell>
        </row>
        <row r="138">
          <cell r="L137">
            <v>-50</v>
          </cell>
        </row>
        <row r="138">
          <cell r="P137">
            <v>184</v>
          </cell>
        </row>
        <row r="139">
          <cell r="B138" t="str">
            <v>永平县</v>
          </cell>
          <cell r="C138" t="str">
            <v>贫困</v>
          </cell>
          <cell r="D138">
            <v>2018</v>
          </cell>
          <cell r="E138" t="str">
            <v>省级</v>
          </cell>
          <cell r="F138">
            <v>0.0047246484121254</v>
          </cell>
          <cell r="G138">
            <v>0.0047246484121254</v>
          </cell>
          <cell r="H138">
            <v>206.68711131504</v>
          </cell>
          <cell r="I138" t="str">
            <v>A</v>
          </cell>
          <cell r="J138">
            <v>200</v>
          </cell>
        </row>
        <row r="139">
          <cell r="L138">
            <v>-50</v>
          </cell>
        </row>
        <row r="139">
          <cell r="P138">
            <v>357</v>
          </cell>
        </row>
        <row r="140">
          <cell r="B139" t="str">
            <v>云龙县</v>
          </cell>
          <cell r="C139" t="str">
            <v>贫困</v>
          </cell>
          <cell r="D139">
            <v>2019</v>
          </cell>
          <cell r="E139" t="str">
            <v>省级</v>
          </cell>
          <cell r="F139">
            <v>0.00754278387446502</v>
          </cell>
          <cell r="G139">
            <v>0.00754278387446502</v>
          </cell>
          <cell r="H139">
            <v>329.970841065298</v>
          </cell>
        </row>
        <row r="140">
          <cell r="L139">
            <v>-50</v>
          </cell>
        </row>
        <row r="140">
          <cell r="P139">
            <v>280</v>
          </cell>
        </row>
        <row r="141">
          <cell r="B140" t="str">
            <v>洱源县</v>
          </cell>
          <cell r="C140" t="str">
            <v>贫困</v>
          </cell>
          <cell r="D140">
            <v>2017</v>
          </cell>
          <cell r="E140" t="str">
            <v>省级</v>
          </cell>
          <cell r="F140">
            <v>0.00517289116024545</v>
          </cell>
          <cell r="G140">
            <v>0.00517289116024545</v>
          </cell>
          <cell r="H140">
            <v>226.29618921787</v>
          </cell>
        </row>
        <row r="141">
          <cell r="L140">
            <v>0</v>
          </cell>
          <cell r="M140">
            <v>0.0208372686100543</v>
          </cell>
          <cell r="N140">
            <v>310.17982969095</v>
          </cell>
        </row>
        <row r="141">
          <cell r="P140">
            <v>536</v>
          </cell>
        </row>
        <row r="142">
          <cell r="B141" t="str">
            <v>剑川县</v>
          </cell>
          <cell r="C141" t="str">
            <v>贫困</v>
          </cell>
          <cell r="D141">
            <v>2019</v>
          </cell>
          <cell r="E141" t="str">
            <v>省级</v>
          </cell>
          <cell r="F141">
            <v>0.00511400826163851</v>
          </cell>
          <cell r="G141">
            <v>0.00511400826163851</v>
          </cell>
          <cell r="H141">
            <v>223.720265009903</v>
          </cell>
        </row>
        <row r="142">
          <cell r="L141">
            <v>0</v>
          </cell>
        </row>
        <row r="142">
          <cell r="P141">
            <v>224</v>
          </cell>
        </row>
        <row r="143">
          <cell r="B142" t="str">
            <v>鹤庆县</v>
          </cell>
          <cell r="C142" t="str">
            <v>贫困</v>
          </cell>
          <cell r="D142">
            <v>2017</v>
          </cell>
        </row>
        <row r="143">
          <cell r="F142">
            <v>0.00399592241947698</v>
          </cell>
          <cell r="G142">
            <v>0</v>
          </cell>
          <cell r="H142">
            <v>0</v>
          </cell>
          <cell r="I142" t="str">
            <v>A</v>
          </cell>
          <cell r="J142">
            <v>200</v>
          </cell>
        </row>
        <row r="143">
          <cell r="L142">
            <v>-150</v>
          </cell>
          <cell r="M142">
            <v>0.0151937136450659</v>
          </cell>
          <cell r="N142">
            <v>226.170886357227</v>
          </cell>
        </row>
        <row r="143">
          <cell r="P142">
            <v>276</v>
          </cell>
        </row>
        <row r="144">
          <cell r="B143" t="str">
            <v>保山市合计</v>
          </cell>
          <cell r="C143">
            <v>1</v>
          </cell>
        </row>
        <row r="144">
          <cell r="F143">
            <v>0.0273358137512297</v>
          </cell>
          <cell r="G143">
            <v>0.00786685590224609</v>
          </cell>
          <cell r="H143">
            <v>344.147877203728</v>
          </cell>
        </row>
        <row r="144">
          <cell r="J143">
            <v>400</v>
          </cell>
          <cell r="K143">
            <v>0</v>
          </cell>
          <cell r="L143">
            <v>-100</v>
          </cell>
          <cell r="M143">
            <v>0.0164783346064052</v>
          </cell>
          <cell r="N143">
            <v>245.293522747939</v>
          </cell>
          <cell r="O143">
            <v>0</v>
          </cell>
          <cell r="P143">
            <v>889</v>
          </cell>
        </row>
        <row r="145">
          <cell r="B144" t="str">
            <v>保山市本级</v>
          </cell>
          <cell r="C144">
            <v>2</v>
          </cell>
        </row>
        <row r="145">
          <cell r="P144">
            <v>0</v>
          </cell>
        </row>
        <row r="146">
          <cell r="B145" t="str">
            <v>县级小计</v>
          </cell>
          <cell r="C145">
            <v>3</v>
          </cell>
        </row>
        <row r="146">
          <cell r="F145">
            <v>0.0273358137512297</v>
          </cell>
          <cell r="G145">
            <v>0.00786685590224609</v>
          </cell>
          <cell r="H145">
            <v>344.147877203728</v>
          </cell>
        </row>
        <row r="146">
          <cell r="J145">
            <v>400</v>
          </cell>
          <cell r="K145">
            <v>0</v>
          </cell>
          <cell r="L145">
            <v>-100</v>
          </cell>
          <cell r="M145">
            <v>0.0164783346064052</v>
          </cell>
          <cell r="N145">
            <v>245.293522747939</v>
          </cell>
          <cell r="O145">
            <v>0</v>
          </cell>
          <cell r="P145">
            <v>889</v>
          </cell>
        </row>
        <row r="147">
          <cell r="B146" t="str">
            <v>隆阳区</v>
          </cell>
          <cell r="C146" t="str">
            <v>贫困</v>
          </cell>
          <cell r="D146">
            <v>2019</v>
          </cell>
        </row>
        <row r="147">
          <cell r="F146">
            <v>0.00500525370151727</v>
          </cell>
          <cell r="G146">
            <v>0</v>
          </cell>
          <cell r="H146">
            <v>0</v>
          </cell>
          <cell r="I146" t="str">
            <v>A</v>
          </cell>
          <cell r="J146">
            <v>200</v>
          </cell>
        </row>
        <row r="147">
          <cell r="L146">
            <v>0</v>
          </cell>
        </row>
        <row r="147">
          <cell r="P146">
            <v>200</v>
          </cell>
        </row>
        <row r="148">
          <cell r="B147" t="str">
            <v>施甸县</v>
          </cell>
          <cell r="C147" t="str">
            <v>贫困</v>
          </cell>
          <cell r="D147">
            <v>2019</v>
          </cell>
          <cell r="E147" t="str">
            <v>省级</v>
          </cell>
          <cell r="F147">
            <v>0.00547563391365329</v>
          </cell>
          <cell r="G147">
            <v>0</v>
          </cell>
          <cell r="H147">
            <v>0</v>
          </cell>
        </row>
        <row r="148">
          <cell r="P147">
            <v>0</v>
          </cell>
        </row>
        <row r="149">
          <cell r="B148" t="str">
            <v>腾冲市</v>
          </cell>
          <cell r="C148" t="str">
            <v>非贫困县</v>
          </cell>
        </row>
        <row r="149">
          <cell r="F148">
            <v>0.00623338409668059</v>
          </cell>
          <cell r="G148">
            <v>0</v>
          </cell>
          <cell r="H148">
            <v>0</v>
          </cell>
        </row>
        <row r="149">
          <cell r="L148">
            <v>0</v>
          </cell>
          <cell r="M148">
            <v>0.00786899116287652</v>
          </cell>
          <cell r="N148">
            <v>117.136385983089</v>
          </cell>
        </row>
        <row r="149">
          <cell r="P148">
            <v>117</v>
          </cell>
        </row>
        <row r="150">
          <cell r="B149" t="str">
            <v>昌宁县</v>
          </cell>
          <cell r="C149" t="str">
            <v>贫困</v>
          </cell>
          <cell r="D149">
            <v>2018</v>
          </cell>
        </row>
        <row r="150">
          <cell r="F149">
            <v>0.00786685590224609</v>
          </cell>
          <cell r="G149">
            <v>0.00786685590224609</v>
          </cell>
          <cell r="H149">
            <v>344.147877203728</v>
          </cell>
          <cell r="I149" t="str">
            <v>A</v>
          </cell>
          <cell r="J149">
            <v>200</v>
          </cell>
        </row>
        <row r="150">
          <cell r="L149">
            <v>-50</v>
          </cell>
        </row>
        <row r="150">
          <cell r="P149">
            <v>494</v>
          </cell>
        </row>
        <row r="151">
          <cell r="B150" t="str">
            <v>龙陵县</v>
          </cell>
          <cell r="C150" t="str">
            <v>贫困</v>
          </cell>
          <cell r="D150">
            <v>2018</v>
          </cell>
        </row>
        <row r="151">
          <cell r="F150">
            <v>0.00275468613713249</v>
          </cell>
          <cell r="G150">
            <v>0</v>
          </cell>
          <cell r="H150">
            <v>0</v>
          </cell>
        </row>
        <row r="151">
          <cell r="L150">
            <v>-50</v>
          </cell>
          <cell r="M150">
            <v>0.00860934344352868</v>
          </cell>
          <cell r="N150">
            <v>128.157136764849</v>
          </cell>
        </row>
        <row r="151">
          <cell r="P150">
            <v>78</v>
          </cell>
        </row>
        <row r="152">
          <cell r="B151" t="str">
            <v>德宏州合计</v>
          </cell>
          <cell r="C151">
            <v>1</v>
          </cell>
        </row>
        <row r="152">
          <cell r="F151">
            <v>0.0242363687389859</v>
          </cell>
          <cell r="G151">
            <v>0.0205918826456996</v>
          </cell>
          <cell r="H151">
            <v>900.824012566756</v>
          </cell>
        </row>
        <row r="152">
          <cell r="J151">
            <v>400</v>
          </cell>
          <cell r="K151">
            <v>100</v>
          </cell>
          <cell r="L151">
            <v>-50</v>
          </cell>
          <cell r="M151">
            <v>0</v>
          </cell>
          <cell r="N151">
            <v>0</v>
          </cell>
          <cell r="O151">
            <v>0</v>
          </cell>
          <cell r="P151">
            <v>1350</v>
          </cell>
        </row>
        <row r="153">
          <cell r="B152" t="str">
            <v>德宏州本级</v>
          </cell>
          <cell r="C152">
            <v>2</v>
          </cell>
        </row>
        <row r="153">
          <cell r="K152">
            <v>100</v>
          </cell>
        </row>
        <row r="153">
          <cell r="P152">
            <v>100</v>
          </cell>
        </row>
        <row r="154">
          <cell r="B153" t="str">
            <v>县级小计</v>
          </cell>
          <cell r="C153">
            <v>3</v>
          </cell>
        </row>
        <row r="154">
          <cell r="F153">
            <v>0.0242363687389859</v>
          </cell>
          <cell r="G153">
            <v>0.0205918826456996</v>
          </cell>
          <cell r="H153">
            <v>900.824012566756</v>
          </cell>
        </row>
        <row r="154">
          <cell r="J153">
            <v>400</v>
          </cell>
          <cell r="K153">
            <v>0</v>
          </cell>
          <cell r="L153">
            <v>-50</v>
          </cell>
          <cell r="M153">
            <v>0</v>
          </cell>
          <cell r="N153">
            <v>0</v>
          </cell>
          <cell r="O153">
            <v>0</v>
          </cell>
          <cell r="P153">
            <v>1250</v>
          </cell>
        </row>
        <row r="155">
          <cell r="B154" t="str">
            <v>芒市</v>
          </cell>
          <cell r="C154" t="str">
            <v>贫困</v>
          </cell>
          <cell r="D154">
            <v>2017</v>
          </cell>
        </row>
        <row r="155">
          <cell r="F154">
            <v>0.00364448609328631</v>
          </cell>
          <cell r="G154">
            <v>0</v>
          </cell>
          <cell r="H154">
            <v>0</v>
          </cell>
          <cell r="I154" t="str">
            <v>A</v>
          </cell>
          <cell r="J154">
            <v>200</v>
          </cell>
        </row>
        <row r="155">
          <cell r="L154">
            <v>0</v>
          </cell>
        </row>
        <row r="155">
          <cell r="P154">
            <v>200</v>
          </cell>
        </row>
        <row r="156">
          <cell r="B155" t="str">
            <v>梁河县</v>
          </cell>
          <cell r="C155" t="str">
            <v>贫困</v>
          </cell>
          <cell r="D155">
            <v>2019</v>
          </cell>
          <cell r="E155" t="str">
            <v>省级</v>
          </cell>
          <cell r="F155">
            <v>0.00567811939002894</v>
          </cell>
          <cell r="G155">
            <v>0.00567811939002894</v>
          </cell>
          <cell r="H155">
            <v>248.398185866079</v>
          </cell>
          <cell r="I155" t="str">
            <v>A</v>
          </cell>
          <cell r="J155">
            <v>200</v>
          </cell>
        </row>
        <row r="156">
          <cell r="L155">
            <v>0</v>
          </cell>
        </row>
        <row r="156">
          <cell r="P155">
            <v>448</v>
          </cell>
        </row>
        <row r="157">
          <cell r="B156" t="str">
            <v>盈江县</v>
          </cell>
          <cell r="C156" t="str">
            <v>贫困</v>
          </cell>
          <cell r="D156">
            <v>2018</v>
          </cell>
          <cell r="E156" t="str">
            <v>省级</v>
          </cell>
          <cell r="F156">
            <v>0.00595936142535312</v>
          </cell>
          <cell r="G156">
            <v>0.00595936142535312</v>
          </cell>
          <cell r="H156">
            <v>260.701557205274</v>
          </cell>
        </row>
        <row r="157">
          <cell r="L156">
            <v>0</v>
          </cell>
        </row>
        <row r="157">
          <cell r="P156">
            <v>261</v>
          </cell>
        </row>
        <row r="158">
          <cell r="B157" t="str">
            <v>陇川县</v>
          </cell>
          <cell r="C157" t="str">
            <v>贫困</v>
          </cell>
          <cell r="D157">
            <v>2018</v>
          </cell>
          <cell r="E157" t="str">
            <v>省级</v>
          </cell>
          <cell r="F157">
            <v>0.00535450945797107</v>
          </cell>
          <cell r="G157">
            <v>0.00535450945797107</v>
          </cell>
          <cell r="H157">
            <v>234.241364825546</v>
          </cell>
        </row>
        <row r="158">
          <cell r="L157">
            <v>-50</v>
          </cell>
        </row>
        <row r="158">
          <cell r="P157">
            <v>184</v>
          </cell>
        </row>
        <row r="159">
          <cell r="B158" t="str">
            <v>瑞丽市</v>
          </cell>
          <cell r="C158" t="str">
            <v>非贫困县</v>
          </cell>
        </row>
        <row r="159">
          <cell r="F158">
            <v>0.00359989237234646</v>
          </cell>
          <cell r="G158">
            <v>0.00359989237234646</v>
          </cell>
          <cell r="H158">
            <v>157.482904669857</v>
          </cell>
        </row>
        <row r="159">
          <cell r="L158">
            <v>0</v>
          </cell>
        </row>
        <row r="159">
          <cell r="P158">
            <v>157</v>
          </cell>
        </row>
        <row r="160">
          <cell r="B159" t="str">
            <v>丽江市合计</v>
          </cell>
          <cell r="C159">
            <v>1</v>
          </cell>
        </row>
        <row r="160">
          <cell r="F159">
            <v>0.0317662964249417</v>
          </cell>
          <cell r="G159">
            <v>0.0317662964249417</v>
          </cell>
          <cell r="H159">
            <v>1389.66616614228</v>
          </cell>
        </row>
        <row r="160">
          <cell r="J159">
            <v>300</v>
          </cell>
          <cell r="K159">
            <v>0</v>
          </cell>
          <cell r="L159">
            <v>-150</v>
          </cell>
          <cell r="M159">
            <v>0.0818103805600138</v>
          </cell>
          <cell r="N159">
            <v>1217.81459863759</v>
          </cell>
          <cell r="O159">
            <v>0</v>
          </cell>
          <cell r="P159">
            <v>2757</v>
          </cell>
        </row>
        <row r="161">
          <cell r="B160" t="str">
            <v>丽江市本级</v>
          </cell>
          <cell r="C160">
            <v>2</v>
          </cell>
        </row>
        <row r="161">
          <cell r="P160">
            <v>0</v>
          </cell>
        </row>
        <row r="162">
          <cell r="B161" t="str">
            <v>县级小计</v>
          </cell>
          <cell r="C161">
            <v>3</v>
          </cell>
        </row>
        <row r="162">
          <cell r="F161">
            <v>0.0317662964249417</v>
          </cell>
          <cell r="G161">
            <v>0.0317662964249417</v>
          </cell>
          <cell r="H161">
            <v>1389.66616614228</v>
          </cell>
        </row>
        <row r="162">
          <cell r="J161">
            <v>300</v>
          </cell>
          <cell r="K161">
            <v>0</v>
          </cell>
          <cell r="L161">
            <v>-150</v>
          </cell>
          <cell r="M161">
            <v>0.0818103805600138</v>
          </cell>
          <cell r="N161">
            <v>1217.81459863759</v>
          </cell>
          <cell r="O161">
            <v>0</v>
          </cell>
          <cell r="P161">
            <v>2757</v>
          </cell>
        </row>
        <row r="163">
          <cell r="B162" t="str">
            <v>古城区</v>
          </cell>
          <cell r="C162" t="str">
            <v>非贫困县</v>
          </cell>
        </row>
        <row r="163">
          <cell r="F162">
            <v>0.00273102615527384</v>
          </cell>
          <cell r="G162">
            <v>0.00273102615527384</v>
          </cell>
          <cell r="H162">
            <v>119.47299729451</v>
          </cell>
        </row>
        <row r="163">
          <cell r="L162">
            <v>0</v>
          </cell>
        </row>
        <row r="163">
          <cell r="P162">
            <v>119</v>
          </cell>
        </row>
        <row r="164">
          <cell r="B163" t="str">
            <v>永胜县</v>
          </cell>
          <cell r="C163" t="str">
            <v>贫困</v>
          </cell>
          <cell r="D163">
            <v>2019</v>
          </cell>
          <cell r="E163" t="str">
            <v>省级</v>
          </cell>
          <cell r="F163">
            <v>0.00767458099123288</v>
          </cell>
          <cell r="G163">
            <v>0.00767458099123288</v>
          </cell>
          <cell r="H163">
            <v>335.736511432322</v>
          </cell>
          <cell r="I163" t="str">
            <v>A</v>
          </cell>
          <cell r="J163">
            <v>200</v>
          </cell>
        </row>
        <row r="164">
          <cell r="L163">
            <v>0</v>
          </cell>
          <cell r="M163">
            <v>0.0143488556984918</v>
          </cell>
          <cell r="N163">
            <v>213.594483044225</v>
          </cell>
        </row>
        <row r="164">
          <cell r="P163">
            <v>749</v>
          </cell>
        </row>
        <row r="165">
          <cell r="B164" t="str">
            <v>华坪县</v>
          </cell>
          <cell r="C164" t="str">
            <v>非贫困县</v>
          </cell>
        </row>
        <row r="165">
          <cell r="F164">
            <v>0.00407555222114818</v>
          </cell>
          <cell r="G164">
            <v>0.00407555222114818</v>
          </cell>
          <cell r="H164">
            <v>178.291386389908</v>
          </cell>
          <cell r="I164" t="str">
            <v>A</v>
          </cell>
          <cell r="J164">
            <v>100</v>
          </cell>
        </row>
        <row r="165">
          <cell r="L164">
            <v>-100</v>
          </cell>
          <cell r="M164">
            <v>0.067461524861522</v>
          </cell>
          <cell r="N164">
            <v>1004.22011559336</v>
          </cell>
        </row>
        <row r="165">
          <cell r="P164">
            <v>1183</v>
          </cell>
        </row>
        <row r="166">
          <cell r="B165" t="str">
            <v>宁蒗县</v>
          </cell>
          <cell r="C165" t="str">
            <v>深度贫困</v>
          </cell>
          <cell r="D165">
            <v>2020</v>
          </cell>
          <cell r="E165" t="str">
            <v>国家</v>
          </cell>
          <cell r="F165">
            <v>0.0131421504966009</v>
          </cell>
          <cell r="G165">
            <v>0.0131421504966009</v>
          </cell>
          <cell r="H165">
            <v>574.923864310999</v>
          </cell>
        </row>
        <row r="166">
          <cell r="L165">
            <v>-50</v>
          </cell>
        </row>
        <row r="166">
          <cell r="P165">
            <v>525</v>
          </cell>
        </row>
        <row r="167">
          <cell r="B166" t="str">
            <v>玉龙县</v>
          </cell>
          <cell r="C166" t="str">
            <v>贫困</v>
          </cell>
          <cell r="D166">
            <v>2017</v>
          </cell>
        </row>
        <row r="167">
          <cell r="F166">
            <v>0.00414298656068593</v>
          </cell>
          <cell r="G166">
            <v>0.00414298656068593</v>
          </cell>
          <cell r="H166">
            <v>181.241406714536</v>
          </cell>
        </row>
        <row r="167">
          <cell r="L166">
            <v>0</v>
          </cell>
        </row>
        <row r="167">
          <cell r="P166">
            <v>181</v>
          </cell>
        </row>
        <row r="168">
          <cell r="B167" t="str">
            <v>怒江州合计</v>
          </cell>
          <cell r="C167">
            <v>1</v>
          </cell>
        </row>
        <row r="168">
          <cell r="H167">
            <v>0</v>
          </cell>
        </row>
        <row r="168">
          <cell r="J167">
            <v>0</v>
          </cell>
          <cell r="K167">
            <v>0</v>
          </cell>
          <cell r="L167">
            <v>0</v>
          </cell>
          <cell r="M167">
            <v>0</v>
          </cell>
          <cell r="N167">
            <v>16320</v>
          </cell>
          <cell r="O167">
            <v>0</v>
          </cell>
          <cell r="P167">
            <v>16319.07</v>
          </cell>
        </row>
        <row r="169">
          <cell r="B168" t="str">
            <v>怒江州本级</v>
          </cell>
          <cell r="C168">
            <v>2</v>
          </cell>
        </row>
        <row r="169">
          <cell r="P168">
            <v>0</v>
          </cell>
        </row>
        <row r="170">
          <cell r="B169" t="str">
            <v>县级小计</v>
          </cell>
          <cell r="C169">
            <v>3</v>
          </cell>
        </row>
        <row r="170">
          <cell r="F169">
            <v>0</v>
          </cell>
          <cell r="G169">
            <v>0</v>
          </cell>
          <cell r="H169">
            <v>0</v>
          </cell>
        </row>
        <row r="170">
          <cell r="J169">
            <v>0</v>
          </cell>
          <cell r="K169">
            <v>0</v>
          </cell>
          <cell r="L169">
            <v>0</v>
          </cell>
          <cell r="M169">
            <v>0</v>
          </cell>
          <cell r="N169">
            <v>16320</v>
          </cell>
          <cell r="O169">
            <v>0</v>
          </cell>
          <cell r="P169">
            <v>16319.07</v>
          </cell>
        </row>
        <row r="171">
          <cell r="B170" t="str">
            <v>兰坪县</v>
          </cell>
          <cell r="C170" t="str">
            <v>深度贫困</v>
          </cell>
          <cell r="D170">
            <v>2020</v>
          </cell>
          <cell r="E170" t="str">
            <v>国家</v>
          </cell>
        </row>
        <row r="171">
          <cell r="N170">
            <v>4020</v>
          </cell>
        </row>
        <row r="171">
          <cell r="P170">
            <v>4019.07</v>
          </cell>
        </row>
        <row r="172">
          <cell r="B171" t="str">
            <v>福贡县</v>
          </cell>
          <cell r="C171" t="str">
            <v>深度贫困</v>
          </cell>
          <cell r="D171">
            <v>2020</v>
          </cell>
          <cell r="E171" t="str">
            <v>国家</v>
          </cell>
        </row>
        <row r="172">
          <cell r="I171" t="str">
            <v>A</v>
          </cell>
        </row>
        <row r="172">
          <cell r="N171">
            <v>3894</v>
          </cell>
        </row>
        <row r="172">
          <cell r="P171">
            <v>3894</v>
          </cell>
        </row>
        <row r="173">
          <cell r="B172" t="str">
            <v>贡山县</v>
          </cell>
          <cell r="C172" t="str">
            <v>深度贫困</v>
          </cell>
          <cell r="D172">
            <v>2019</v>
          </cell>
          <cell r="E172" t="str">
            <v>国家</v>
          </cell>
        </row>
        <row r="173">
          <cell r="N172">
            <v>3427</v>
          </cell>
        </row>
        <row r="173">
          <cell r="P172">
            <v>3427</v>
          </cell>
        </row>
        <row r="174">
          <cell r="B173" t="str">
            <v>泸水市</v>
          </cell>
          <cell r="C173" t="str">
            <v>深度贫困</v>
          </cell>
          <cell r="D173">
            <v>2020</v>
          </cell>
          <cell r="E173" t="str">
            <v>国家</v>
          </cell>
        </row>
        <row r="174">
          <cell r="N173">
            <v>4979</v>
          </cell>
        </row>
        <row r="174">
          <cell r="P173">
            <v>4979</v>
          </cell>
        </row>
        <row r="175">
          <cell r="B174" t="str">
            <v>迪庆州合计</v>
          </cell>
          <cell r="C174">
            <v>1</v>
          </cell>
        </row>
        <row r="175">
          <cell r="H174">
            <v>0</v>
          </cell>
        </row>
        <row r="175">
          <cell r="J174">
            <v>0</v>
          </cell>
          <cell r="K174">
            <v>0</v>
          </cell>
          <cell r="L174">
            <v>0</v>
          </cell>
          <cell r="M174">
            <v>0</v>
          </cell>
          <cell r="N174">
            <v>7050.66666666667</v>
          </cell>
          <cell r="O174">
            <v>0</v>
          </cell>
          <cell r="P174">
            <v>7051</v>
          </cell>
        </row>
        <row r="176">
          <cell r="B175" t="str">
            <v>迪庆州本级</v>
          </cell>
          <cell r="C175">
            <v>2</v>
          </cell>
        </row>
        <row r="176">
          <cell r="P175">
            <v>0</v>
          </cell>
        </row>
        <row r="177">
          <cell r="B176" t="str">
            <v>县级小计</v>
          </cell>
          <cell r="C176">
            <v>3</v>
          </cell>
        </row>
        <row r="177">
          <cell r="F176">
            <v>0</v>
          </cell>
          <cell r="G176">
            <v>0</v>
          </cell>
          <cell r="H176">
            <v>0</v>
          </cell>
        </row>
        <row r="177">
          <cell r="J176">
            <v>0</v>
          </cell>
          <cell r="K176">
            <v>0</v>
          </cell>
          <cell r="L176">
            <v>0</v>
          </cell>
          <cell r="M176">
            <v>0</v>
          </cell>
          <cell r="N176">
            <v>7050.66666666667</v>
          </cell>
          <cell r="O176">
            <v>0</v>
          </cell>
          <cell r="P176">
            <v>7051</v>
          </cell>
        </row>
        <row r="178">
          <cell r="B177" t="str">
            <v>香格里拉市</v>
          </cell>
          <cell r="C177" t="str">
            <v>深度贫困</v>
          </cell>
          <cell r="D177">
            <v>2018</v>
          </cell>
          <cell r="E177" t="str">
            <v>国家</v>
          </cell>
        </row>
        <row r="178">
          <cell r="N177">
            <v>1974</v>
          </cell>
        </row>
        <row r="178">
          <cell r="P177">
            <v>1974</v>
          </cell>
        </row>
        <row r="179">
          <cell r="B178" t="str">
            <v>维西县</v>
          </cell>
          <cell r="C178" t="str">
            <v>深度贫困</v>
          </cell>
          <cell r="D178">
            <v>2019</v>
          </cell>
          <cell r="E178" t="str">
            <v>国家</v>
          </cell>
        </row>
        <row r="179">
          <cell r="N178">
            <v>2702</v>
          </cell>
        </row>
        <row r="179">
          <cell r="P178">
            <v>2702</v>
          </cell>
        </row>
        <row r="180">
          <cell r="B179" t="str">
            <v>德钦县</v>
          </cell>
          <cell r="C179" t="str">
            <v>深度贫困</v>
          </cell>
          <cell r="D179">
            <v>2018</v>
          </cell>
          <cell r="E179" t="str">
            <v>国家</v>
          </cell>
        </row>
        <row r="180">
          <cell r="N179">
            <v>2374.66666666667</v>
          </cell>
        </row>
        <row r="180">
          <cell r="P179">
            <v>2375</v>
          </cell>
        </row>
        <row r="181">
          <cell r="B180" t="str">
            <v>临沧市合计</v>
          </cell>
          <cell r="C180">
            <v>1</v>
          </cell>
        </row>
        <row r="181">
          <cell r="F180">
            <v>0.043846906267109</v>
          </cell>
          <cell r="G180">
            <v>0.043846906267109</v>
          </cell>
          <cell r="H180">
            <v>1918.15127940351</v>
          </cell>
        </row>
        <row r="181">
          <cell r="J180">
            <v>200</v>
          </cell>
          <cell r="K180">
            <v>0</v>
          </cell>
          <cell r="L180">
            <v>-100</v>
          </cell>
          <cell r="M180">
            <v>0</v>
          </cell>
          <cell r="N180">
            <v>0</v>
          </cell>
          <cell r="O180">
            <v>0</v>
          </cell>
          <cell r="P180">
            <v>2018</v>
          </cell>
        </row>
        <row r="182">
          <cell r="B181" t="str">
            <v>临沧市本级</v>
          </cell>
          <cell r="C181">
            <v>2</v>
          </cell>
        </row>
        <row r="182">
          <cell r="P181">
            <v>0</v>
          </cell>
        </row>
        <row r="183">
          <cell r="B182" t="str">
            <v>县级小计</v>
          </cell>
          <cell r="C182">
            <v>3</v>
          </cell>
        </row>
        <row r="183">
          <cell r="F182">
            <v>0.043846906267109</v>
          </cell>
          <cell r="G182">
            <v>0.043846906267109</v>
          </cell>
          <cell r="H182">
            <v>1918.15127940351</v>
          </cell>
        </row>
        <row r="183">
          <cell r="J182">
            <v>200</v>
          </cell>
          <cell r="K182">
            <v>0</v>
          </cell>
          <cell r="L182">
            <v>-100</v>
          </cell>
          <cell r="M182">
            <v>0</v>
          </cell>
          <cell r="N182">
            <v>0</v>
          </cell>
          <cell r="O182">
            <v>0</v>
          </cell>
          <cell r="P182">
            <v>2018</v>
          </cell>
        </row>
        <row r="184">
          <cell r="B183" t="str">
            <v>凤庆县</v>
          </cell>
          <cell r="C183" t="str">
            <v>贫困</v>
          </cell>
          <cell r="D183">
            <v>2018</v>
          </cell>
          <cell r="E183" t="str">
            <v>省级</v>
          </cell>
          <cell r="F183">
            <v>0.00726134370525589</v>
          </cell>
          <cell r="G183">
            <v>0.00726134370525589</v>
          </cell>
          <cell r="H183">
            <v>317.658802050381</v>
          </cell>
        </row>
        <row r="184">
          <cell r="L183">
            <v>-50</v>
          </cell>
        </row>
        <row r="184">
          <cell r="P183">
            <v>268</v>
          </cell>
        </row>
        <row r="185">
          <cell r="B184" t="str">
            <v>云县</v>
          </cell>
          <cell r="C184" t="str">
            <v>贫困</v>
          </cell>
          <cell r="D184">
            <v>2017</v>
          </cell>
        </row>
        <row r="185">
          <cell r="F184">
            <v>0.00612799530645887</v>
          </cell>
          <cell r="G184">
            <v>0.00612799530645887</v>
          </cell>
          <cell r="H184">
            <v>268.07870926301</v>
          </cell>
        </row>
        <row r="185">
          <cell r="L184">
            <v>0</v>
          </cell>
        </row>
        <row r="185">
          <cell r="P184">
            <v>268</v>
          </cell>
        </row>
        <row r="186">
          <cell r="B185" t="str">
            <v>临翔区</v>
          </cell>
          <cell r="C185" t="str">
            <v>贫困</v>
          </cell>
          <cell r="D185">
            <v>2018</v>
          </cell>
        </row>
        <row r="186">
          <cell r="F185">
            <v>0.00583450119257302</v>
          </cell>
          <cell r="G185">
            <v>0.00583450119257302</v>
          </cell>
          <cell r="H185">
            <v>255.239351644071</v>
          </cell>
        </row>
        <row r="186">
          <cell r="L185">
            <v>0</v>
          </cell>
        </row>
        <row r="186">
          <cell r="P185">
            <v>255</v>
          </cell>
        </row>
        <row r="187">
          <cell r="B186" t="str">
            <v>永德县</v>
          </cell>
          <cell r="C186" t="str">
            <v>贫困</v>
          </cell>
          <cell r="D186">
            <v>2019</v>
          </cell>
          <cell r="E186" t="str">
            <v>省级</v>
          </cell>
          <cell r="F186">
            <v>0.00621801273156483</v>
          </cell>
          <cell r="G186">
            <v>0.00621801273156483</v>
          </cell>
          <cell r="H186">
            <v>272.016661876673</v>
          </cell>
        </row>
        <row r="187">
          <cell r="L186">
            <v>0</v>
          </cell>
        </row>
        <row r="187">
          <cell r="P186">
            <v>272</v>
          </cell>
        </row>
        <row r="188">
          <cell r="B187" t="str">
            <v>镇康县</v>
          </cell>
          <cell r="C187" t="str">
            <v>贫困</v>
          </cell>
          <cell r="D187">
            <v>2018</v>
          </cell>
        </row>
        <row r="188">
          <cell r="F187">
            <v>0.00437886087298196</v>
          </cell>
          <cell r="G187">
            <v>0.00437886087298196</v>
          </cell>
          <cell r="H187">
            <v>191.560096273906</v>
          </cell>
        </row>
        <row r="188">
          <cell r="L187">
            <v>-50</v>
          </cell>
        </row>
        <row r="188">
          <cell r="P187">
            <v>142</v>
          </cell>
        </row>
        <row r="189">
          <cell r="B188" t="str">
            <v>双江县</v>
          </cell>
          <cell r="C188" t="str">
            <v>贫困</v>
          </cell>
          <cell r="D188">
            <v>2018</v>
          </cell>
        </row>
        <row r="189">
          <cell r="F188">
            <v>0.00367974336501249</v>
          </cell>
          <cell r="G188">
            <v>0.00367974336501249</v>
          </cell>
          <cell r="H188">
            <v>160.976110845247</v>
          </cell>
          <cell r="I188" t="str">
            <v>A</v>
          </cell>
          <cell r="J188">
            <v>200</v>
          </cell>
        </row>
        <row r="189">
          <cell r="L188">
            <v>0</v>
          </cell>
        </row>
        <row r="189">
          <cell r="P188">
            <v>361</v>
          </cell>
        </row>
        <row r="190">
          <cell r="B189" t="str">
            <v>耿马县</v>
          </cell>
          <cell r="C189" t="str">
            <v>贫困</v>
          </cell>
          <cell r="D189">
            <v>2018</v>
          </cell>
        </row>
        <row r="190">
          <cell r="F189">
            <v>0.00483342070395224</v>
          </cell>
          <cell r="G189">
            <v>0.00483342070395224</v>
          </cell>
          <cell r="H189">
            <v>211.44552481542</v>
          </cell>
        </row>
        <row r="190">
          <cell r="L189">
            <v>0</v>
          </cell>
        </row>
        <row r="190">
          <cell r="P189">
            <v>211</v>
          </cell>
        </row>
        <row r="191">
          <cell r="B190" t="str">
            <v>沧源县</v>
          </cell>
          <cell r="C190" t="str">
            <v>贫困</v>
          </cell>
          <cell r="D190">
            <v>2018</v>
          </cell>
          <cell r="E190" t="str">
            <v>省级</v>
          </cell>
          <cell r="F190">
            <v>0.00551302838930972</v>
          </cell>
          <cell r="G190">
            <v>0.00551302838930972</v>
          </cell>
          <cell r="H190">
            <v>241.176022634802</v>
          </cell>
        </row>
        <row r="191">
          <cell r="L190">
            <v>0</v>
          </cell>
        </row>
        <row r="191">
          <cell r="P190">
            <v>241</v>
          </cell>
        </row>
      </sheetData>
      <sheetData sheetId="1">
        <row r="4">
          <cell r="B3" t="str">
            <v>地区</v>
          </cell>
          <cell r="C3" t="str">
            <v>脱贫县标识</v>
          </cell>
          <cell r="D3" t="str">
            <v>脱贫年度</v>
          </cell>
          <cell r="E3" t="str">
            <v>乡村振兴重点帮扶县</v>
          </cell>
          <cell r="F3" t="str">
            <v>绩效管理结果因素</v>
          </cell>
        </row>
        <row r="5">
          <cell r="F4" t="str">
            <v>综合支出进度系数</v>
          </cell>
          <cell r="G4" t="str">
            <v>超全省平均进度参与分配县系数</v>
          </cell>
          <cell r="H4" t="str">
            <v>支出进度分配金额</v>
          </cell>
          <cell r="I4" t="str">
            <v>衔接资金产业绩效评价结果</v>
          </cell>
          <cell r="J4" t="str">
            <v>衔接资金产业绩效评价奖励</v>
          </cell>
          <cell r="K4" t="str">
            <v>新增或补充政担风险分担机制出资奖励</v>
          </cell>
          <cell r="L4" t="str">
            <v>分任务分部门项目入库调度问题扣减</v>
          </cell>
        </row>
        <row r="6">
          <cell r="F5">
            <v>1</v>
          </cell>
          <cell r="G5">
            <v>2</v>
          </cell>
          <cell r="H5">
            <v>3</v>
          </cell>
          <cell r="I5">
            <v>4</v>
          </cell>
          <cell r="J5">
            <v>5</v>
          </cell>
          <cell r="K5">
            <v>6</v>
          </cell>
          <cell r="L5">
            <v>7</v>
          </cell>
        </row>
        <row r="7">
          <cell r="B6" t="str">
            <v>全省合计</v>
          </cell>
          <cell r="C6">
            <v>0</v>
          </cell>
        </row>
        <row r="7">
          <cell r="F6">
            <v>1</v>
          </cell>
          <cell r="G6">
            <v>0.937589561711936</v>
          </cell>
          <cell r="H6">
            <v>60550.15</v>
          </cell>
        </row>
        <row r="7">
          <cell r="J6">
            <v>4800</v>
          </cell>
          <cell r="K6">
            <v>700</v>
          </cell>
          <cell r="L6">
            <v>-4250</v>
          </cell>
        </row>
        <row r="8">
          <cell r="B7" t="str">
            <v>云南省本级</v>
          </cell>
          <cell r="C7">
            <v>1</v>
          </cell>
        </row>
        <row r="9">
          <cell r="B8" t="str">
            <v>州市本级合计</v>
          </cell>
          <cell r="C8">
            <v>0</v>
          </cell>
        </row>
        <row r="9">
          <cell r="F8">
            <v>0</v>
          </cell>
          <cell r="G8">
            <v>0</v>
          </cell>
          <cell r="H8">
            <v>0</v>
          </cell>
        </row>
        <row r="9">
          <cell r="J8">
            <v>0</v>
          </cell>
          <cell r="K8">
            <v>100</v>
          </cell>
          <cell r="L8">
            <v>0</v>
          </cell>
        </row>
        <row r="10">
          <cell r="B9" t="str">
            <v>88个县合计</v>
          </cell>
        </row>
        <row r="10">
          <cell r="F9">
            <v>0.865499291515939</v>
          </cell>
          <cell r="G9">
            <v>0.8183869556132</v>
          </cell>
          <cell r="H9">
            <v>52851.9673682624</v>
          </cell>
        </row>
        <row r="10">
          <cell r="J9">
            <v>4000</v>
          </cell>
          <cell r="K9">
            <v>500</v>
          </cell>
          <cell r="L9">
            <v>-2600</v>
          </cell>
        </row>
        <row r="11">
          <cell r="B10" t="str">
            <v>41个县合计</v>
          </cell>
        </row>
        <row r="11">
          <cell r="F10">
            <v>0.134500708484061</v>
          </cell>
          <cell r="G10">
            <v>0.119202606098735</v>
          </cell>
          <cell r="H10">
            <v>7698.18263173763</v>
          </cell>
        </row>
        <row r="11">
          <cell r="J10">
            <v>800</v>
          </cell>
          <cell r="K10">
            <v>100</v>
          </cell>
          <cell r="L10">
            <v>-1650</v>
          </cell>
        </row>
        <row r="12">
          <cell r="B11" t="str">
            <v>57个县合计</v>
          </cell>
        </row>
        <row r="12">
          <cell r="F11">
            <v>0.711466206913966</v>
          </cell>
          <cell r="G11">
            <v>0.682207370433586</v>
          </cell>
          <cell r="H11">
            <v>44057.4002716453</v>
          </cell>
        </row>
        <row r="12">
          <cell r="J11">
            <v>2600</v>
          </cell>
          <cell r="K11">
            <v>400</v>
          </cell>
          <cell r="L11">
            <v>-1700</v>
          </cell>
        </row>
        <row r="13">
          <cell r="B12" t="str">
            <v>27个县合计</v>
          </cell>
        </row>
        <row r="13">
          <cell r="F12">
            <v>0.508857426005871</v>
          </cell>
          <cell r="G12">
            <v>0.497581190317642</v>
          </cell>
          <cell r="H12">
            <v>32134.120239031</v>
          </cell>
        </row>
        <row r="13">
          <cell r="J12">
            <v>1800</v>
          </cell>
          <cell r="K12">
            <v>100</v>
          </cell>
          <cell r="L12">
            <v>-800</v>
          </cell>
        </row>
        <row r="14">
          <cell r="B13" t="str">
            <v>30个县合计</v>
          </cell>
        </row>
        <row r="14">
          <cell r="F13">
            <v>0.202608780908096</v>
          </cell>
          <cell r="G13">
            <v>0.184626180115944</v>
          </cell>
          <cell r="H13">
            <v>11923.2800326142</v>
          </cell>
        </row>
        <row r="14">
          <cell r="J13">
            <v>800</v>
          </cell>
          <cell r="K13">
            <v>300</v>
          </cell>
          <cell r="L13">
            <v>-900</v>
          </cell>
        </row>
        <row r="15">
          <cell r="B14" t="str">
            <v>昆明市合计</v>
          </cell>
          <cell r="C14">
            <v>1</v>
          </cell>
        </row>
        <row r="15">
          <cell r="F14">
            <v>0.045799516134476</v>
          </cell>
          <cell r="G14">
            <v>0.0207733917934979</v>
          </cell>
          <cell r="H14">
            <v>1341.55929254204</v>
          </cell>
        </row>
        <row r="15">
          <cell r="J14">
            <v>0</v>
          </cell>
          <cell r="K14">
            <v>100</v>
          </cell>
          <cell r="L14">
            <v>-250</v>
          </cell>
        </row>
        <row r="16">
          <cell r="B15" t="str">
            <v>昆明市本级</v>
          </cell>
          <cell r="C15">
            <v>2</v>
          </cell>
        </row>
        <row r="17">
          <cell r="B16" t="str">
            <v>县级小计</v>
          </cell>
          <cell r="C16">
            <v>3</v>
          </cell>
        </row>
        <row r="17">
          <cell r="F16">
            <v>0.045799516134476</v>
          </cell>
          <cell r="G16">
            <v>0.0207733917934979</v>
          </cell>
          <cell r="H16">
            <v>1341.55929254204</v>
          </cell>
        </row>
        <row r="17">
          <cell r="J16">
            <v>0</v>
          </cell>
          <cell r="K16">
            <v>100</v>
          </cell>
          <cell r="L16">
            <v>-250</v>
          </cell>
        </row>
        <row r="18">
          <cell r="B17" t="str">
            <v>盘龙区</v>
          </cell>
          <cell r="C17" t="str">
            <v>非贫困县</v>
          </cell>
        </row>
        <row r="18">
          <cell r="F17">
            <v>0.00273805798173941</v>
          </cell>
          <cell r="G17">
            <v>0.00273805798173941</v>
          </cell>
          <cell r="H17">
            <v>176.825583681099</v>
          </cell>
        </row>
        <row r="18">
          <cell r="L17">
            <v>0</v>
          </cell>
        </row>
        <row r="19">
          <cell r="B18" t="str">
            <v>五华区</v>
          </cell>
          <cell r="C18" t="str">
            <v>非贫困县</v>
          </cell>
        </row>
        <row r="19">
          <cell r="F18">
            <v>0.00187650934574115</v>
          </cell>
          <cell r="G18">
            <v>0.00187650934574115</v>
          </cell>
          <cell r="H18">
            <v>121.18620663136</v>
          </cell>
        </row>
        <row r="19">
          <cell r="L18">
            <v>0</v>
          </cell>
        </row>
        <row r="20">
          <cell r="B19" t="str">
            <v>西山区</v>
          </cell>
          <cell r="C19" t="str">
            <v>非贫困县</v>
          </cell>
        </row>
        <row r="20">
          <cell r="F19">
            <v>0.000987408688812301</v>
          </cell>
          <cell r="G19">
            <v>0</v>
          </cell>
          <cell r="H19">
            <v>0</v>
          </cell>
        </row>
        <row r="21">
          <cell r="B20" t="str">
            <v>官渡区</v>
          </cell>
          <cell r="C20" t="str">
            <v>非贫困县</v>
          </cell>
        </row>
        <row r="21">
          <cell r="F20">
            <v>0</v>
          </cell>
          <cell r="G20">
            <v>0</v>
          </cell>
          <cell r="H20">
            <v>0</v>
          </cell>
        </row>
        <row r="21">
          <cell r="L20">
            <v>0</v>
          </cell>
        </row>
        <row r="22">
          <cell r="B21" t="str">
            <v>呈贡区</v>
          </cell>
          <cell r="C21" t="str">
            <v>非贫困县</v>
          </cell>
        </row>
        <row r="22">
          <cell r="F21">
            <v>0.00177338202381466</v>
          </cell>
          <cell r="G21">
            <v>0.00177338202381466</v>
          </cell>
          <cell r="H21">
            <v>114.526176414784</v>
          </cell>
        </row>
        <row r="22">
          <cell r="L21">
            <v>0</v>
          </cell>
        </row>
        <row r="23">
          <cell r="B22" t="str">
            <v>安宁市</v>
          </cell>
          <cell r="C22" t="str">
            <v>非贫困县</v>
          </cell>
        </row>
        <row r="23">
          <cell r="F22">
            <v>0.00107634393297788</v>
          </cell>
          <cell r="G22">
            <v>0</v>
          </cell>
          <cell r="H22">
            <v>0</v>
          </cell>
        </row>
        <row r="23">
          <cell r="L22">
            <v>0</v>
          </cell>
        </row>
        <row r="24">
          <cell r="B23" t="str">
            <v>富民县</v>
          </cell>
          <cell r="C23" t="str">
            <v>非贫困县</v>
          </cell>
        </row>
        <row r="24">
          <cell r="F23">
            <v>0.0017085770759763</v>
          </cell>
          <cell r="G23">
            <v>0</v>
          </cell>
          <cell r="H23">
            <v>0</v>
          </cell>
        </row>
        <row r="24">
          <cell r="L23">
            <v>0</v>
          </cell>
        </row>
        <row r="25">
          <cell r="B24" t="str">
            <v>晋宁区</v>
          </cell>
          <cell r="C24" t="str">
            <v>非贫困县</v>
          </cell>
        </row>
        <row r="25">
          <cell r="F24">
            <v>0.00292169366490654</v>
          </cell>
          <cell r="G24">
            <v>0.00292169366490654</v>
          </cell>
          <cell r="H24">
            <v>188.684896769888</v>
          </cell>
        </row>
        <row r="25">
          <cell r="L24">
            <v>-100</v>
          </cell>
        </row>
        <row r="26">
          <cell r="B25" t="str">
            <v>宜良县</v>
          </cell>
          <cell r="C25" t="str">
            <v>非贫困县</v>
          </cell>
        </row>
        <row r="26">
          <cell r="F25">
            <v>0.00245708337145089</v>
          </cell>
          <cell r="G25">
            <v>0.00245708337145089</v>
          </cell>
          <cell r="H25">
            <v>158.680058715892</v>
          </cell>
        </row>
        <row r="26">
          <cell r="L25">
            <v>0</v>
          </cell>
        </row>
        <row r="27">
          <cell r="B26" t="str">
            <v>石林县</v>
          </cell>
          <cell r="C26" t="str">
            <v>非贫困县</v>
          </cell>
        </row>
        <row r="27">
          <cell r="F26">
            <v>0.00160068950243391</v>
          </cell>
          <cell r="G26">
            <v>0</v>
          </cell>
          <cell r="H26">
            <v>0</v>
          </cell>
        </row>
        <row r="27">
          <cell r="L26">
            <v>-50</v>
          </cell>
        </row>
        <row r="28">
          <cell r="B27" t="str">
            <v>嵩明县</v>
          </cell>
          <cell r="C27" t="str">
            <v>非贫困县</v>
          </cell>
        </row>
        <row r="28">
          <cell r="F27">
            <v>0.00209044360621544</v>
          </cell>
          <cell r="G27">
            <v>0</v>
          </cell>
          <cell r="H27">
            <v>0</v>
          </cell>
        </row>
        <row r="28">
          <cell r="L27">
            <v>0</v>
          </cell>
        </row>
        <row r="29">
          <cell r="B28" t="str">
            <v>禄劝县</v>
          </cell>
          <cell r="C28" t="str">
            <v>贫困</v>
          </cell>
          <cell r="D28">
            <v>2018</v>
          </cell>
          <cell r="E28" t="str">
            <v>省级</v>
          </cell>
          <cell r="F28">
            <v>0.0062864258463334</v>
          </cell>
          <cell r="G28">
            <v>0</v>
          </cell>
          <cell r="H28">
            <v>0</v>
          </cell>
        </row>
        <row r="29">
          <cell r="L28">
            <v>0</v>
          </cell>
        </row>
        <row r="30">
          <cell r="B29" t="str">
            <v>东川区</v>
          </cell>
          <cell r="C29" t="str">
            <v>深度贫困</v>
          </cell>
          <cell r="D29">
            <v>2018</v>
          </cell>
          <cell r="E29" t="str">
            <v>国家</v>
          </cell>
          <cell r="F29">
            <v>0.0112762356882289</v>
          </cell>
          <cell r="G29">
            <v>0</v>
          </cell>
          <cell r="H29">
            <v>0</v>
          </cell>
        </row>
        <row r="31">
          <cell r="B30" t="str">
            <v>寻甸县</v>
          </cell>
          <cell r="C30" t="str">
            <v>贫困</v>
          </cell>
          <cell r="D30">
            <v>2017</v>
          </cell>
          <cell r="E30" t="str">
            <v>省级</v>
          </cell>
          <cell r="F30">
            <v>0.00900666540584521</v>
          </cell>
          <cell r="G30">
            <v>0.00900666540584521</v>
          </cell>
          <cell r="H30">
            <v>581.656370329017</v>
          </cell>
        </row>
        <row r="31">
          <cell r="K30">
            <v>100</v>
          </cell>
          <cell r="L30">
            <v>-100</v>
          </cell>
        </row>
        <row r="32">
          <cell r="B31" t="str">
            <v>昭通市合计</v>
          </cell>
          <cell r="C31">
            <v>1</v>
          </cell>
        </row>
        <row r="32">
          <cell r="F31">
            <v>0.229668585034538</v>
          </cell>
          <cell r="G31">
            <v>0.229668585034538</v>
          </cell>
          <cell r="H31">
            <v>14832.1481403199</v>
          </cell>
        </row>
        <row r="32">
          <cell r="J31">
            <v>1400</v>
          </cell>
          <cell r="K31">
            <v>0</v>
          </cell>
          <cell r="L31">
            <v>-450</v>
          </cell>
        </row>
        <row r="33">
          <cell r="B32" t="str">
            <v>昭通市本级</v>
          </cell>
          <cell r="C32">
            <v>2</v>
          </cell>
        </row>
        <row r="34">
          <cell r="B33" t="str">
            <v>县级小计</v>
          </cell>
          <cell r="C33">
            <v>3</v>
          </cell>
        </row>
        <row r="34">
          <cell r="F33">
            <v>0.229668585034538</v>
          </cell>
          <cell r="G33">
            <v>0.229668585034538</v>
          </cell>
          <cell r="H33">
            <v>14832.1481403199</v>
          </cell>
        </row>
        <row r="34">
          <cell r="J33">
            <v>1400</v>
          </cell>
          <cell r="K33">
            <v>0</v>
          </cell>
          <cell r="L33">
            <v>-450</v>
          </cell>
        </row>
        <row r="35">
          <cell r="B34" t="str">
            <v>昭阳区</v>
          </cell>
          <cell r="C34" t="str">
            <v>深度贫困</v>
          </cell>
          <cell r="D34">
            <v>2019</v>
          </cell>
          <cell r="E34" t="str">
            <v>国家</v>
          </cell>
          <cell r="F34">
            <v>0.0287643794411663</v>
          </cell>
          <cell r="G34">
            <v>0.0287643794411663</v>
          </cell>
          <cell r="H34">
            <v>1857.62252583039</v>
          </cell>
        </row>
        <row r="35">
          <cell r="L34">
            <v>-50</v>
          </cell>
        </row>
        <row r="36">
          <cell r="B35" t="str">
            <v>鲁甸县</v>
          </cell>
          <cell r="C35" t="str">
            <v>深度贫困</v>
          </cell>
          <cell r="D35">
            <v>2019</v>
          </cell>
          <cell r="E35" t="str">
            <v>国家</v>
          </cell>
          <cell r="F35">
            <v>0.022758692358382</v>
          </cell>
          <cell r="G35">
            <v>0.022758692358382</v>
          </cell>
          <cell r="H35">
            <v>1469.77130759405</v>
          </cell>
          <cell r="I35" t="str">
            <v>A</v>
          </cell>
          <cell r="J35">
            <v>200</v>
          </cell>
        </row>
        <row r="36">
          <cell r="L35">
            <v>-50</v>
          </cell>
        </row>
        <row r="37">
          <cell r="B36" t="str">
            <v>巧家县</v>
          </cell>
          <cell r="C36" t="str">
            <v>深度贫困</v>
          </cell>
          <cell r="D36">
            <v>2019</v>
          </cell>
          <cell r="E36" t="str">
            <v>国家</v>
          </cell>
          <cell r="F36">
            <v>0.0169041514298261</v>
          </cell>
          <cell r="G36">
            <v>0.0169041514298261</v>
          </cell>
          <cell r="H36">
            <v>1091.68120731826</v>
          </cell>
        </row>
        <row r="37">
          <cell r="L36">
            <v>-50</v>
          </cell>
        </row>
        <row r="38">
          <cell r="B37" t="str">
            <v>盐津县</v>
          </cell>
          <cell r="C37" t="str">
            <v>贫困</v>
          </cell>
          <cell r="D37">
            <v>2019</v>
          </cell>
          <cell r="E37" t="str">
            <v>国家</v>
          </cell>
          <cell r="F37">
            <v>0.0169936776534135</v>
          </cell>
          <cell r="G37">
            <v>0.0169936776534135</v>
          </cell>
          <cell r="H37">
            <v>1097.4628696666</v>
          </cell>
          <cell r="I37" t="str">
            <v>A</v>
          </cell>
          <cell r="J37">
            <v>200</v>
          </cell>
        </row>
        <row r="38">
          <cell r="L37">
            <v>-50</v>
          </cell>
        </row>
        <row r="39">
          <cell r="B38" t="str">
            <v>大关县</v>
          </cell>
          <cell r="C38" t="str">
            <v>深度贫困</v>
          </cell>
          <cell r="D38">
            <v>2019</v>
          </cell>
          <cell r="E38" t="str">
            <v>国家</v>
          </cell>
          <cell r="F38">
            <v>0.0215953059688347</v>
          </cell>
          <cell r="G38">
            <v>0.0215953059688347</v>
          </cell>
          <cell r="H38">
            <v>1394.63905007784</v>
          </cell>
          <cell r="I38" t="str">
            <v>A</v>
          </cell>
          <cell r="J38">
            <v>200</v>
          </cell>
        </row>
        <row r="39">
          <cell r="L38">
            <v>0</v>
          </cell>
        </row>
        <row r="40">
          <cell r="B39" t="str">
            <v>永善县</v>
          </cell>
          <cell r="C39" t="str">
            <v>深度贫困</v>
          </cell>
          <cell r="D39">
            <v>2019</v>
          </cell>
          <cell r="E39" t="str">
            <v>国家</v>
          </cell>
          <cell r="F39">
            <v>0.0204021202290983</v>
          </cell>
          <cell r="G39">
            <v>0.0204021202290983</v>
          </cell>
          <cell r="H39">
            <v>1317.58233094481</v>
          </cell>
          <cell r="I39" t="str">
            <v>A</v>
          </cell>
          <cell r="J39">
            <v>200</v>
          </cell>
        </row>
        <row r="40">
          <cell r="L39">
            <v>-50</v>
          </cell>
        </row>
        <row r="41">
          <cell r="B40" t="str">
            <v>绥江县</v>
          </cell>
          <cell r="C40" t="str">
            <v>贫困</v>
          </cell>
          <cell r="D40">
            <v>2018</v>
          </cell>
          <cell r="E40" t="str">
            <v>省级</v>
          </cell>
          <cell r="F40">
            <v>0.00848231654526662</v>
          </cell>
          <cell r="G40">
            <v>0.00848231654526662</v>
          </cell>
          <cell r="H40">
            <v>547.793576355082</v>
          </cell>
        </row>
        <row r="41">
          <cell r="L40">
            <v>0</v>
          </cell>
        </row>
        <row r="42">
          <cell r="B41" t="str">
            <v>镇雄县</v>
          </cell>
          <cell r="C41" t="str">
            <v>深度贫困</v>
          </cell>
          <cell r="D41">
            <v>2020</v>
          </cell>
          <cell r="E41" t="str">
            <v>国家</v>
          </cell>
          <cell r="F41">
            <v>0.0526733933940465</v>
          </cell>
          <cell r="G41">
            <v>0.0526733933940465</v>
          </cell>
          <cell r="H41">
            <v>3401.6823578913</v>
          </cell>
          <cell r="I41" t="str">
            <v>A</v>
          </cell>
          <cell r="J41">
            <v>200</v>
          </cell>
        </row>
        <row r="42">
          <cell r="L41">
            <v>0</v>
          </cell>
        </row>
        <row r="43">
          <cell r="B42" t="str">
            <v>彝良县</v>
          </cell>
          <cell r="C42" t="str">
            <v>深度贫困</v>
          </cell>
          <cell r="D42">
            <v>2019</v>
          </cell>
          <cell r="E42" t="str">
            <v>国家</v>
          </cell>
          <cell r="F42">
            <v>0.0282817543599362</v>
          </cell>
          <cell r="G42">
            <v>0.0282817543599362</v>
          </cell>
          <cell r="H42">
            <v>1826.45428094412</v>
          </cell>
          <cell r="I42" t="str">
            <v>A</v>
          </cell>
          <cell r="J42">
            <v>200</v>
          </cell>
        </row>
        <row r="43">
          <cell r="L42">
            <v>0</v>
          </cell>
        </row>
        <row r="44">
          <cell r="B43" t="str">
            <v>威信县</v>
          </cell>
          <cell r="C43" t="str">
            <v>贫困</v>
          </cell>
          <cell r="D43">
            <v>2018</v>
          </cell>
          <cell r="E43" t="str">
            <v>省级</v>
          </cell>
          <cell r="F43">
            <v>0.00868962431610323</v>
          </cell>
          <cell r="G43">
            <v>0.00868962431610323</v>
          </cell>
          <cell r="H43">
            <v>561.181648420862</v>
          </cell>
          <cell r="I43" t="str">
            <v>A</v>
          </cell>
          <cell r="J43">
            <v>200</v>
          </cell>
        </row>
        <row r="44">
          <cell r="L43">
            <v>-150</v>
          </cell>
        </row>
        <row r="45">
          <cell r="B44" t="str">
            <v>水富市</v>
          </cell>
          <cell r="C44" t="str">
            <v>非贫困县</v>
          </cell>
        </row>
        <row r="45">
          <cell r="F44">
            <v>0.00412316933846448</v>
          </cell>
          <cell r="G44">
            <v>0.00412316933846448</v>
          </cell>
          <cell r="H44">
            <v>266.276985276559</v>
          </cell>
        </row>
        <row r="45">
          <cell r="L44">
            <v>-50</v>
          </cell>
        </row>
        <row r="46">
          <cell r="B45" t="str">
            <v>曲靖市合计</v>
          </cell>
          <cell r="C45">
            <v>1</v>
          </cell>
        </row>
        <row r="46">
          <cell r="F45">
            <v>0.0983517083619599</v>
          </cell>
          <cell r="G45">
            <v>0.0983517083619599</v>
          </cell>
          <cell r="H45">
            <v>6351.61795444838</v>
          </cell>
        </row>
        <row r="46">
          <cell r="J45">
            <v>400</v>
          </cell>
          <cell r="K45">
            <v>0</v>
          </cell>
          <cell r="L45">
            <v>-600</v>
          </cell>
        </row>
        <row r="47">
          <cell r="B46" t="str">
            <v>曲靖市本级</v>
          </cell>
          <cell r="C46">
            <v>2</v>
          </cell>
        </row>
        <row r="48">
          <cell r="B47" t="str">
            <v>县级小计</v>
          </cell>
          <cell r="C47">
            <v>3</v>
          </cell>
        </row>
        <row r="48">
          <cell r="F47">
            <v>0.0983517083619599</v>
          </cell>
          <cell r="G47">
            <v>0.0983517083619599</v>
          </cell>
          <cell r="H47">
            <v>6351.61795444838</v>
          </cell>
        </row>
        <row r="48">
          <cell r="J47">
            <v>400</v>
          </cell>
          <cell r="K47">
            <v>0</v>
          </cell>
          <cell r="L47">
            <v>-600</v>
          </cell>
        </row>
        <row r="49">
          <cell r="B48" t="str">
            <v>麒麟区</v>
          </cell>
          <cell r="C48" t="str">
            <v>非贫困县</v>
          </cell>
        </row>
        <row r="49">
          <cell r="F48">
            <v>0.00277520919556725</v>
          </cell>
          <cell r="G48">
            <v>0.00277520919556725</v>
          </cell>
          <cell r="H48">
            <v>179.224833482739</v>
          </cell>
          <cell r="I48" t="str">
            <v>A</v>
          </cell>
          <cell r="J48">
            <v>100</v>
          </cell>
        </row>
        <row r="49">
          <cell r="L48">
            <v>0</v>
          </cell>
        </row>
        <row r="50">
          <cell r="B49" t="str">
            <v>沾益区</v>
          </cell>
          <cell r="C49" t="str">
            <v>非贫困县</v>
          </cell>
        </row>
        <row r="50">
          <cell r="F49">
            <v>0.00363683623146102</v>
          </cell>
          <cell r="G49">
            <v>0.00363683623146102</v>
          </cell>
          <cell r="H49">
            <v>234.869273649248</v>
          </cell>
        </row>
        <row r="50">
          <cell r="L49">
            <v>-150</v>
          </cell>
        </row>
        <row r="51">
          <cell r="B50" t="str">
            <v>马龙区</v>
          </cell>
          <cell r="C50" t="str">
            <v>非贫困县</v>
          </cell>
        </row>
        <row r="51">
          <cell r="F50">
            <v>0.00348170056150633</v>
          </cell>
          <cell r="G50">
            <v>0.00348170056150633</v>
          </cell>
          <cell r="H50">
            <v>224.850510141519</v>
          </cell>
        </row>
        <row r="51">
          <cell r="L50">
            <v>-50</v>
          </cell>
        </row>
        <row r="52">
          <cell r="B51" t="str">
            <v>宣威市</v>
          </cell>
          <cell r="C51" t="str">
            <v>深度贫困</v>
          </cell>
          <cell r="D51">
            <v>2019</v>
          </cell>
          <cell r="E51" t="str">
            <v>国家</v>
          </cell>
          <cell r="F51">
            <v>0.0209173632635566</v>
          </cell>
          <cell r="G51">
            <v>0.0209173632635566</v>
          </cell>
          <cell r="H51">
            <v>1350.85706468432</v>
          </cell>
          <cell r="I51" t="str">
            <v>A</v>
          </cell>
          <cell r="J51">
            <v>200</v>
          </cell>
        </row>
        <row r="52">
          <cell r="L51">
            <v>0</v>
          </cell>
        </row>
        <row r="53">
          <cell r="B52" t="str">
            <v>富源县</v>
          </cell>
          <cell r="C52" t="str">
            <v>贫困</v>
          </cell>
          <cell r="D52">
            <v>2018</v>
          </cell>
          <cell r="E52" t="str">
            <v>省级</v>
          </cell>
          <cell r="F52">
            <v>0.0092906042467015</v>
          </cell>
          <cell r="G52">
            <v>0.0092906042467015</v>
          </cell>
          <cell r="H52">
            <v>599.993327252132</v>
          </cell>
        </row>
        <row r="53">
          <cell r="L52">
            <v>-100</v>
          </cell>
        </row>
        <row r="54">
          <cell r="B53" t="str">
            <v>罗平县</v>
          </cell>
          <cell r="C53" t="str">
            <v>贫困</v>
          </cell>
          <cell r="D53">
            <v>2017</v>
          </cell>
        </row>
        <row r="54">
          <cell r="F53">
            <v>0.00500195831787463</v>
          </cell>
          <cell r="G53">
            <v>0.00500195831787463</v>
          </cell>
          <cell r="H53">
            <v>323.029755032735</v>
          </cell>
        </row>
        <row r="54">
          <cell r="L53">
            <v>-100</v>
          </cell>
        </row>
        <row r="55">
          <cell r="B54" t="str">
            <v>师宗县</v>
          </cell>
          <cell r="C54" t="str">
            <v>贫困</v>
          </cell>
          <cell r="D54">
            <v>2018</v>
          </cell>
        </row>
        <row r="55">
          <cell r="F54">
            <v>0.00667628631245631</v>
          </cell>
          <cell r="G54">
            <v>0.00667628631245631</v>
          </cell>
          <cell r="H54">
            <v>431.158957149715</v>
          </cell>
        </row>
        <row r="55">
          <cell r="L54">
            <v>0</v>
          </cell>
        </row>
        <row r="56">
          <cell r="B55" t="str">
            <v>陆良县</v>
          </cell>
          <cell r="C55" t="str">
            <v>非贫困县</v>
          </cell>
        </row>
        <row r="56">
          <cell r="F55">
            <v>0.00466319472724682</v>
          </cell>
          <cell r="G55">
            <v>0.00466319472724682</v>
          </cell>
          <cell r="H55">
            <v>301.152179743182</v>
          </cell>
          <cell r="I55" t="str">
            <v>A</v>
          </cell>
          <cell r="J55">
            <v>100</v>
          </cell>
        </row>
        <row r="56">
          <cell r="L55">
            <v>-200</v>
          </cell>
        </row>
        <row r="57">
          <cell r="B56" t="str">
            <v>会泽县</v>
          </cell>
          <cell r="C56" t="str">
            <v>深度贫困</v>
          </cell>
          <cell r="D56">
            <v>2020</v>
          </cell>
          <cell r="E56" t="str">
            <v>国家</v>
          </cell>
          <cell r="F56">
            <v>0.0419085555055894</v>
          </cell>
          <cell r="G56">
            <v>0.0419085555055894</v>
          </cell>
          <cell r="H56">
            <v>2706.48205331279</v>
          </cell>
        </row>
        <row r="57">
          <cell r="L56">
            <v>0</v>
          </cell>
        </row>
        <row r="58">
          <cell r="B57" t="str">
            <v>玉溪市合计</v>
          </cell>
          <cell r="C57">
            <v>1</v>
          </cell>
        </row>
        <row r="58">
          <cell r="F57">
            <v>0.0261638593801038</v>
          </cell>
          <cell r="G57">
            <v>0.0261638593801038</v>
          </cell>
          <cell r="H57">
            <v>1689.67923144491</v>
          </cell>
        </row>
        <row r="58">
          <cell r="J57">
            <v>0</v>
          </cell>
          <cell r="K57">
            <v>100</v>
          </cell>
          <cell r="L57">
            <v>-200</v>
          </cell>
        </row>
        <row r="59">
          <cell r="B58" t="str">
            <v>玉溪市本级</v>
          </cell>
          <cell r="C58">
            <v>2</v>
          </cell>
        </row>
        <row r="60">
          <cell r="B59" t="str">
            <v>县级小计</v>
          </cell>
          <cell r="C59">
            <v>3</v>
          </cell>
        </row>
        <row r="60">
          <cell r="F59">
            <v>0.0261638593801038</v>
          </cell>
          <cell r="G59">
            <v>0.0261638593801038</v>
          </cell>
          <cell r="H59">
            <v>1689.67923144491</v>
          </cell>
        </row>
        <row r="60">
          <cell r="J59">
            <v>0</v>
          </cell>
          <cell r="K59">
            <v>100</v>
          </cell>
          <cell r="L59">
            <v>-200</v>
          </cell>
        </row>
        <row r="61">
          <cell r="B60" t="str">
            <v>红塔区</v>
          </cell>
          <cell r="C60" t="str">
            <v>非贫困县</v>
          </cell>
        </row>
        <row r="61">
          <cell r="F60">
            <v>0.00237001373588548</v>
          </cell>
          <cell r="G60">
            <v>0.00237001373588548</v>
          </cell>
          <cell r="H60">
            <v>153.057044436269</v>
          </cell>
        </row>
        <row r="61">
          <cell r="L60">
            <v>0</v>
          </cell>
        </row>
        <row r="62">
          <cell r="B61" t="str">
            <v>通海县</v>
          </cell>
          <cell r="C61" t="str">
            <v>非贫困县</v>
          </cell>
        </row>
        <row r="62">
          <cell r="F61">
            <v>0.00240871825717454</v>
          </cell>
          <cell r="G61">
            <v>0.00240871825717454</v>
          </cell>
          <cell r="H61">
            <v>155.556607854458</v>
          </cell>
        </row>
        <row r="62">
          <cell r="L61">
            <v>0</v>
          </cell>
        </row>
        <row r="63">
          <cell r="B62" t="str">
            <v>江川区</v>
          </cell>
          <cell r="C62" t="str">
            <v>非贫困县</v>
          </cell>
        </row>
        <row r="63">
          <cell r="F62">
            <v>0.00267260655518154</v>
          </cell>
          <cell r="G62">
            <v>0.00267260655518154</v>
          </cell>
          <cell r="H62">
            <v>172.598687544844</v>
          </cell>
        </row>
        <row r="63">
          <cell r="L62">
            <v>0</v>
          </cell>
        </row>
        <row r="64">
          <cell r="B63" t="str">
            <v>澄江市</v>
          </cell>
          <cell r="C63" t="str">
            <v>非贫困县</v>
          </cell>
        </row>
        <row r="64">
          <cell r="F63">
            <v>0.00282986907873694</v>
          </cell>
          <cell r="G63">
            <v>0.00282986907873694</v>
          </cell>
          <cell r="H63">
            <v>182.754804655695</v>
          </cell>
        </row>
        <row r="64">
          <cell r="K63">
            <v>100</v>
          </cell>
          <cell r="L63">
            <v>0</v>
          </cell>
        </row>
        <row r="65">
          <cell r="B64" t="str">
            <v>华宁县</v>
          </cell>
          <cell r="C64" t="str">
            <v>非贫困县</v>
          </cell>
        </row>
        <row r="65">
          <cell r="F64">
            <v>0.00254092888347219</v>
          </cell>
          <cell r="G64">
            <v>0.00254092888347219</v>
          </cell>
          <cell r="H64">
            <v>164.094856978414</v>
          </cell>
        </row>
        <row r="65">
          <cell r="L64">
            <v>0</v>
          </cell>
        </row>
        <row r="66">
          <cell r="B65" t="str">
            <v>易门县</v>
          </cell>
          <cell r="C65" t="str">
            <v>非贫困县</v>
          </cell>
        </row>
        <row r="66">
          <cell r="F65">
            <v>0.00277306148724721</v>
          </cell>
          <cell r="G65">
            <v>0.00277306148724721</v>
          </cell>
          <cell r="H65">
            <v>179.086133068139</v>
          </cell>
        </row>
        <row r="66">
          <cell r="L65">
            <v>-150</v>
          </cell>
        </row>
        <row r="67">
          <cell r="B66" t="str">
            <v>峨山县</v>
          </cell>
          <cell r="C66" t="str">
            <v>非贫困县</v>
          </cell>
        </row>
        <row r="67">
          <cell r="F66">
            <v>0.0028918671483891</v>
          </cell>
          <cell r="G66">
            <v>0.0028918671483891</v>
          </cell>
          <cell r="H66">
            <v>186.758680733725</v>
          </cell>
        </row>
        <row r="67">
          <cell r="L66">
            <v>0</v>
          </cell>
        </row>
        <row r="68">
          <cell r="B67" t="str">
            <v>新平县</v>
          </cell>
          <cell r="C67" t="str">
            <v>非贫困县</v>
          </cell>
        </row>
        <row r="68">
          <cell r="F67">
            <v>0.00331599194699668</v>
          </cell>
          <cell r="G67">
            <v>0.00331599194699668</v>
          </cell>
          <cell r="H67">
            <v>214.148938926786</v>
          </cell>
        </row>
        <row r="68">
          <cell r="L67">
            <v>-50</v>
          </cell>
        </row>
        <row r="69">
          <cell r="B68" t="str">
            <v>元江县</v>
          </cell>
          <cell r="C68" t="str">
            <v>非贫困县</v>
          </cell>
        </row>
        <row r="69">
          <cell r="F68">
            <v>0.00436080228702011</v>
          </cell>
          <cell r="G68">
            <v>0.00436080228702011</v>
          </cell>
          <cell r="H68">
            <v>281.623477246578</v>
          </cell>
        </row>
        <row r="69">
          <cell r="L68">
            <v>0</v>
          </cell>
        </row>
        <row r="70">
          <cell r="B69" t="str">
            <v>红河州合计</v>
          </cell>
          <cell r="C69">
            <v>1</v>
          </cell>
        </row>
        <row r="70">
          <cell r="F69">
            <v>0.103313001074605</v>
          </cell>
          <cell r="G69">
            <v>0.103313001074605</v>
          </cell>
          <cell r="H69">
            <v>6672.0214979734</v>
          </cell>
        </row>
        <row r="70">
          <cell r="J69">
            <v>1100</v>
          </cell>
          <cell r="K69">
            <v>100</v>
          </cell>
          <cell r="L69">
            <v>-450</v>
          </cell>
        </row>
        <row r="71">
          <cell r="B70" t="str">
            <v>红河州本级</v>
          </cell>
          <cell r="C70">
            <v>2</v>
          </cell>
        </row>
        <row r="72">
          <cell r="B71" t="str">
            <v>县级小计</v>
          </cell>
          <cell r="C71">
            <v>3</v>
          </cell>
        </row>
        <row r="72">
          <cell r="F71">
            <v>0.103313001074605</v>
          </cell>
          <cell r="G71">
            <v>0.103313001074605</v>
          </cell>
          <cell r="H71">
            <v>6672.0214979734</v>
          </cell>
        </row>
        <row r="72">
          <cell r="J71">
            <v>1100</v>
          </cell>
          <cell r="K71">
            <v>100</v>
          </cell>
          <cell r="L71">
            <v>-450</v>
          </cell>
        </row>
        <row r="73">
          <cell r="B72" t="str">
            <v>个旧市</v>
          </cell>
          <cell r="C72" t="str">
            <v>非贫困县</v>
          </cell>
        </row>
        <row r="73">
          <cell r="F72">
            <v>0.00404618323094265</v>
          </cell>
          <cell r="G72">
            <v>0.00404618323094265</v>
          </cell>
          <cell r="H72">
            <v>261.305171864034</v>
          </cell>
          <cell r="I72" t="str">
            <v>A</v>
          </cell>
          <cell r="J72">
            <v>100</v>
          </cell>
        </row>
        <row r="73">
          <cell r="L72">
            <v>0</v>
          </cell>
        </row>
        <row r="74">
          <cell r="B73" t="str">
            <v>开远市</v>
          </cell>
          <cell r="C73" t="str">
            <v>非贫困县</v>
          </cell>
        </row>
        <row r="74">
          <cell r="F73">
            <v>0.00472415732477125</v>
          </cell>
          <cell r="G73">
            <v>0.00472415732477125</v>
          </cell>
          <cell r="H73">
            <v>305.089184350778</v>
          </cell>
          <cell r="I73" t="str">
            <v>A</v>
          </cell>
          <cell r="J73">
            <v>100</v>
          </cell>
        </row>
        <row r="74">
          <cell r="L73">
            <v>0</v>
          </cell>
        </row>
        <row r="75">
          <cell r="B74" t="str">
            <v>蒙自市</v>
          </cell>
          <cell r="C74" t="str">
            <v>非贫困县</v>
          </cell>
        </row>
        <row r="75">
          <cell r="F74">
            <v>0.00552003809827251</v>
          </cell>
          <cell r="G74">
            <v>0.00552003809827251</v>
          </cell>
          <cell r="H74">
            <v>356.48768768909</v>
          </cell>
          <cell r="I74" t="str">
            <v>A</v>
          </cell>
          <cell r="J74">
            <v>100</v>
          </cell>
        </row>
        <row r="75">
          <cell r="L74">
            <v>-50</v>
          </cell>
        </row>
        <row r="76">
          <cell r="B75" t="str">
            <v>建水县</v>
          </cell>
          <cell r="C75" t="str">
            <v>非贫困县</v>
          </cell>
        </row>
        <row r="76">
          <cell r="F75">
            <v>0.00516669107726438</v>
          </cell>
          <cell r="G75">
            <v>0.00516669107726438</v>
          </cell>
          <cell r="H75">
            <v>333.668304882577</v>
          </cell>
          <cell r="I75" t="str">
            <v>A</v>
          </cell>
          <cell r="J75">
            <v>100</v>
          </cell>
        </row>
        <row r="76">
          <cell r="L75">
            <v>-100</v>
          </cell>
        </row>
        <row r="77">
          <cell r="B76" t="str">
            <v>石屏县</v>
          </cell>
          <cell r="C76" t="str">
            <v>贫困</v>
          </cell>
          <cell r="D76">
            <v>2017</v>
          </cell>
        </row>
        <row r="77">
          <cell r="F76">
            <v>0.00413764513163678</v>
          </cell>
          <cell r="G76">
            <v>0.00413764513163678</v>
          </cell>
          <cell r="H76">
            <v>267.211841511895</v>
          </cell>
          <cell r="I76" t="str">
            <v>A</v>
          </cell>
          <cell r="J76">
            <v>200</v>
          </cell>
        </row>
        <row r="77">
          <cell r="L76">
            <v>0</v>
          </cell>
        </row>
        <row r="78">
          <cell r="B77" t="str">
            <v>弥勒市</v>
          </cell>
          <cell r="C77" t="str">
            <v>非贫困县</v>
          </cell>
        </row>
        <row r="78">
          <cell r="F77">
            <v>0.00539202228796821</v>
          </cell>
          <cell r="G77">
            <v>0.00539202228796821</v>
          </cell>
          <cell r="H77">
            <v>348.220342538464</v>
          </cell>
          <cell r="I77" t="str">
            <v>A</v>
          </cell>
          <cell r="J77">
            <v>100</v>
          </cell>
        </row>
        <row r="78">
          <cell r="L77">
            <v>0</v>
          </cell>
        </row>
        <row r="79">
          <cell r="B78" t="str">
            <v>泸西县</v>
          </cell>
          <cell r="C78" t="str">
            <v>贫困</v>
          </cell>
          <cell r="D78">
            <v>2018</v>
          </cell>
        </row>
        <row r="79">
          <cell r="F78">
            <v>0.00503789063444009</v>
          </cell>
          <cell r="G78">
            <v>0.00503789063444009</v>
          </cell>
          <cell r="H78">
            <v>325.350287648215</v>
          </cell>
        </row>
        <row r="79">
          <cell r="L78">
            <v>0</v>
          </cell>
        </row>
        <row r="80">
          <cell r="B79" t="str">
            <v>屏边县</v>
          </cell>
          <cell r="C79" t="str">
            <v>贫困</v>
          </cell>
          <cell r="D79">
            <v>2020</v>
          </cell>
          <cell r="E79" t="str">
            <v>省级</v>
          </cell>
          <cell r="F79">
            <v>0.00734335410928106</v>
          </cell>
          <cell r="G79">
            <v>0.00734335410928106</v>
          </cell>
          <cell r="H79">
            <v>474.238633809253</v>
          </cell>
        </row>
        <row r="80">
          <cell r="L79">
            <v>-50</v>
          </cell>
        </row>
        <row r="81">
          <cell r="B80" t="str">
            <v>河口县</v>
          </cell>
          <cell r="C80" t="str">
            <v>非贫困县</v>
          </cell>
        </row>
        <row r="81">
          <cell r="F80">
            <v>0.00392353207583252</v>
          </cell>
          <cell r="G80">
            <v>0.00392353207583252</v>
          </cell>
          <cell r="H80">
            <v>253.384279671046</v>
          </cell>
        </row>
        <row r="81">
          <cell r="L80">
            <v>0</v>
          </cell>
        </row>
        <row r="82">
          <cell r="B81" t="str">
            <v>金平县</v>
          </cell>
          <cell r="C81" t="str">
            <v>深度贫困</v>
          </cell>
          <cell r="D81">
            <v>2019</v>
          </cell>
          <cell r="E81" t="str">
            <v>国家</v>
          </cell>
          <cell r="F81">
            <v>0.0179481045431277</v>
          </cell>
          <cell r="G81">
            <v>0.0179481045431277</v>
          </cell>
          <cell r="H81">
            <v>1159.10038537306</v>
          </cell>
          <cell r="I81" t="str">
            <v>A</v>
          </cell>
          <cell r="J81">
            <v>200</v>
          </cell>
        </row>
        <row r="82">
          <cell r="L81">
            <v>-150</v>
          </cell>
        </row>
        <row r="83">
          <cell r="B82" t="str">
            <v>元阳县</v>
          </cell>
          <cell r="C82" t="str">
            <v>深度贫困</v>
          </cell>
          <cell r="D82">
            <v>2019</v>
          </cell>
          <cell r="E82" t="str">
            <v>国家</v>
          </cell>
          <cell r="F82">
            <v>0.0151746170007171</v>
          </cell>
          <cell r="G82">
            <v>0.0151746170007171</v>
          </cell>
          <cell r="H82">
            <v>979.986737382502</v>
          </cell>
        </row>
        <row r="83">
          <cell r="L82">
            <v>-50</v>
          </cell>
        </row>
        <row r="84">
          <cell r="B83" t="str">
            <v>红河县</v>
          </cell>
          <cell r="C83" t="str">
            <v>深度贫困</v>
          </cell>
          <cell r="D83">
            <v>2019</v>
          </cell>
          <cell r="E83" t="str">
            <v>国家</v>
          </cell>
          <cell r="F83">
            <v>0.0130163089201666</v>
          </cell>
          <cell r="G83">
            <v>0.0130163089201666</v>
          </cell>
          <cell r="H83">
            <v>840.601783282836</v>
          </cell>
        </row>
        <row r="84">
          <cell r="L83">
            <v>-50</v>
          </cell>
        </row>
        <row r="85">
          <cell r="B84" t="str">
            <v>绿春县</v>
          </cell>
          <cell r="C84" t="str">
            <v>深度贫困</v>
          </cell>
          <cell r="D84">
            <v>2019</v>
          </cell>
          <cell r="E84" t="str">
            <v>国家</v>
          </cell>
          <cell r="F84">
            <v>0.0118824566401841</v>
          </cell>
          <cell r="G84">
            <v>0.0118824566401841</v>
          </cell>
          <cell r="H84">
            <v>767.376857969646</v>
          </cell>
          <cell r="I84" t="str">
            <v>A</v>
          </cell>
          <cell r="J84">
            <v>200</v>
          </cell>
          <cell r="K84">
            <v>100</v>
          </cell>
          <cell r="L84">
            <v>0</v>
          </cell>
        </row>
        <row r="86">
          <cell r="B85" t="str">
            <v>文山州合计</v>
          </cell>
          <cell r="C85">
            <v>1</v>
          </cell>
        </row>
        <row r="86">
          <cell r="F85">
            <v>0.0672114806999041</v>
          </cell>
          <cell r="G85">
            <v>0.0609909396677395</v>
          </cell>
          <cell r="H85">
            <v>3938.83496183505</v>
          </cell>
        </row>
        <row r="86">
          <cell r="J85">
            <v>200</v>
          </cell>
          <cell r="K85">
            <v>0</v>
          </cell>
          <cell r="L85">
            <v>-200</v>
          </cell>
        </row>
        <row r="87">
          <cell r="B86" t="str">
            <v>文山州本级</v>
          </cell>
          <cell r="C86">
            <v>2</v>
          </cell>
        </row>
        <row r="88">
          <cell r="B87" t="str">
            <v>县级小计</v>
          </cell>
          <cell r="C87">
            <v>3</v>
          </cell>
        </row>
        <row r="88">
          <cell r="F87">
            <v>0.0672114806999041</v>
          </cell>
          <cell r="G87">
            <v>0.0609909396677395</v>
          </cell>
          <cell r="H87">
            <v>3938.83496183505</v>
          </cell>
        </row>
        <row r="88">
          <cell r="J87">
            <v>200</v>
          </cell>
          <cell r="K87">
            <v>0</v>
          </cell>
          <cell r="L87">
            <v>-200</v>
          </cell>
        </row>
        <row r="89">
          <cell r="B88" t="str">
            <v>文山市</v>
          </cell>
          <cell r="C88" t="str">
            <v>贫困</v>
          </cell>
          <cell r="D88">
            <v>2019</v>
          </cell>
        </row>
        <row r="89">
          <cell r="F88">
            <v>0.00635718282774431</v>
          </cell>
          <cell r="G88">
            <v>0.00635718282774431</v>
          </cell>
          <cell r="H88">
            <v>410.551044419165</v>
          </cell>
        </row>
        <row r="89">
          <cell r="L88">
            <v>-50</v>
          </cell>
        </row>
        <row r="90">
          <cell r="B89" t="str">
            <v>砚山县</v>
          </cell>
          <cell r="C89" t="str">
            <v>贫困</v>
          </cell>
          <cell r="D89">
            <v>2018</v>
          </cell>
        </row>
        <row r="90">
          <cell r="F89">
            <v>0.00637844210631295</v>
          </cell>
          <cell r="G89">
            <v>0.00637844210631295</v>
          </cell>
          <cell r="H89">
            <v>411.923982598929</v>
          </cell>
          <cell r="I89" t="str">
            <v>A</v>
          </cell>
          <cell r="J89">
            <v>200</v>
          </cell>
        </row>
        <row r="90">
          <cell r="L89">
            <v>0</v>
          </cell>
        </row>
        <row r="91">
          <cell r="B90" t="str">
            <v>西畴县</v>
          </cell>
          <cell r="C90" t="str">
            <v>贫困</v>
          </cell>
          <cell r="D90">
            <v>2018</v>
          </cell>
          <cell r="E90" t="str">
            <v>省级</v>
          </cell>
          <cell r="F90">
            <v>0.00565195789553609</v>
          </cell>
          <cell r="G90">
            <v>0.00565195789553609</v>
          </cell>
          <cell r="H90">
            <v>365.007154882917</v>
          </cell>
        </row>
        <row r="91">
          <cell r="L90">
            <v>-50</v>
          </cell>
        </row>
        <row r="92">
          <cell r="B91" t="str">
            <v>麻栗坡县</v>
          </cell>
          <cell r="C91" t="str">
            <v>贫困</v>
          </cell>
          <cell r="D91">
            <v>2019</v>
          </cell>
          <cell r="E91" t="str">
            <v>省级</v>
          </cell>
          <cell r="F91">
            <v>0.00622054103216459</v>
          </cell>
          <cell r="G91">
            <v>0</v>
          </cell>
          <cell r="H91">
            <v>0</v>
          </cell>
        </row>
        <row r="93">
          <cell r="B92" t="str">
            <v>马关县</v>
          </cell>
          <cell r="C92" t="str">
            <v>深度贫困</v>
          </cell>
          <cell r="D92">
            <v>2019</v>
          </cell>
          <cell r="E92" t="str">
            <v>国家</v>
          </cell>
          <cell r="F92">
            <v>0.01203383078311</v>
          </cell>
          <cell r="G92">
            <v>0.01203383078311</v>
          </cell>
          <cell r="H92">
            <v>777.152699590098</v>
          </cell>
        </row>
        <row r="93">
          <cell r="L92">
            <v>0</v>
          </cell>
        </row>
        <row r="94">
          <cell r="B93" t="str">
            <v>丘北县</v>
          </cell>
          <cell r="C93" t="str">
            <v>贫困</v>
          </cell>
          <cell r="D93">
            <v>2019</v>
          </cell>
          <cell r="E93" t="str">
            <v>省级</v>
          </cell>
          <cell r="F93">
            <v>0.00858393661696967</v>
          </cell>
          <cell r="G93">
            <v>0.00858393661696967</v>
          </cell>
          <cell r="H93">
            <v>554.356267361791</v>
          </cell>
        </row>
        <row r="94">
          <cell r="L93">
            <v>0</v>
          </cell>
        </row>
        <row r="95">
          <cell r="B94" t="str">
            <v>广南县</v>
          </cell>
          <cell r="C94" t="str">
            <v>深度贫困</v>
          </cell>
          <cell r="D94">
            <v>2020</v>
          </cell>
          <cell r="E94" t="str">
            <v>国家</v>
          </cell>
          <cell r="F94">
            <v>0.0153953711200168</v>
          </cell>
          <cell r="G94">
            <v>0.0153953711200168</v>
          </cell>
          <cell r="H94">
            <v>994.243183467833</v>
          </cell>
        </row>
        <row r="95">
          <cell r="L94">
            <v>0</v>
          </cell>
        </row>
        <row r="96">
          <cell r="B95" t="str">
            <v>富宁县</v>
          </cell>
          <cell r="C95" t="str">
            <v>贫困</v>
          </cell>
          <cell r="D95">
            <v>2019</v>
          </cell>
          <cell r="E95" t="str">
            <v>省级</v>
          </cell>
          <cell r="F95">
            <v>0.00659021831804965</v>
          </cell>
          <cell r="G95">
            <v>0.00659021831804965</v>
          </cell>
          <cell r="H95">
            <v>425.600629514319</v>
          </cell>
        </row>
        <row r="96">
          <cell r="L95">
            <v>-100</v>
          </cell>
        </row>
        <row r="97">
          <cell r="B96" t="str">
            <v>普洱市合计</v>
          </cell>
          <cell r="C96">
            <v>1</v>
          </cell>
        </row>
        <row r="97">
          <cell r="F96">
            <v>0.0714138018816458</v>
          </cell>
          <cell r="G96">
            <v>0.0714138018816458</v>
          </cell>
          <cell r="H96">
            <v>4611.95025263355</v>
          </cell>
        </row>
        <row r="97">
          <cell r="J96">
            <v>0</v>
          </cell>
          <cell r="K96">
            <v>200</v>
          </cell>
          <cell r="L96">
            <v>-50</v>
          </cell>
        </row>
        <row r="98">
          <cell r="B97" t="str">
            <v>普洱市本级</v>
          </cell>
          <cell r="C97">
            <v>2</v>
          </cell>
        </row>
        <row r="99">
          <cell r="B98" t="str">
            <v>县级小计</v>
          </cell>
          <cell r="C98">
            <v>3</v>
          </cell>
        </row>
        <row r="99">
          <cell r="F98">
            <v>0.0714138018816458</v>
          </cell>
          <cell r="G98">
            <v>0.0714138018816458</v>
          </cell>
          <cell r="H98">
            <v>4611.95025263355</v>
          </cell>
        </row>
        <row r="99">
          <cell r="J98">
            <v>0</v>
          </cell>
          <cell r="K98">
            <v>200</v>
          </cell>
          <cell r="L98">
            <v>-50</v>
          </cell>
        </row>
        <row r="100">
          <cell r="B99" t="str">
            <v>思茅区</v>
          </cell>
          <cell r="C99" t="str">
            <v>非贫困县</v>
          </cell>
        </row>
        <row r="100">
          <cell r="F99">
            <v>0.00418662702274777</v>
          </cell>
          <cell r="G99">
            <v>0.00418662702274777</v>
          </cell>
          <cell r="H99">
            <v>270.375124226603</v>
          </cell>
        </row>
        <row r="100">
          <cell r="L99">
            <v>0</v>
          </cell>
        </row>
        <row r="101">
          <cell r="B100" t="str">
            <v>宁洱县</v>
          </cell>
          <cell r="C100" t="str">
            <v>贫困</v>
          </cell>
          <cell r="D100">
            <v>2017</v>
          </cell>
        </row>
        <row r="101">
          <cell r="F100">
            <v>0.00412911139035098</v>
          </cell>
          <cell r="G100">
            <v>0.00412911139035098</v>
          </cell>
          <cell r="H100">
            <v>266.660726892004</v>
          </cell>
        </row>
        <row r="101">
          <cell r="L100">
            <v>0</v>
          </cell>
        </row>
        <row r="102">
          <cell r="B101" t="str">
            <v>墨江县</v>
          </cell>
          <cell r="C101" t="str">
            <v>贫困</v>
          </cell>
          <cell r="D101">
            <v>2019</v>
          </cell>
          <cell r="E101" t="str">
            <v>省级</v>
          </cell>
          <cell r="F101">
            <v>0.00887141337526212</v>
          </cell>
          <cell r="G101">
            <v>0.00887141337526212</v>
          </cell>
          <cell r="H101">
            <v>572.921705317754</v>
          </cell>
        </row>
        <row r="102">
          <cell r="L101">
            <v>0</v>
          </cell>
        </row>
        <row r="103">
          <cell r="B102" t="str">
            <v>景谷县</v>
          </cell>
          <cell r="C102" t="str">
            <v>贫困</v>
          </cell>
          <cell r="D102">
            <v>2018</v>
          </cell>
        </row>
        <row r="103">
          <cell r="F102">
            <v>0.00583376262803927</v>
          </cell>
          <cell r="G102">
            <v>0.00583376262803927</v>
          </cell>
          <cell r="H102">
            <v>376.748223974682</v>
          </cell>
        </row>
        <row r="103">
          <cell r="L102">
            <v>0</v>
          </cell>
        </row>
        <row r="104">
          <cell r="B103" t="str">
            <v>镇沅县</v>
          </cell>
          <cell r="C103" t="str">
            <v>贫困</v>
          </cell>
          <cell r="D103">
            <v>2018</v>
          </cell>
        </row>
        <row r="104">
          <cell r="F103">
            <v>0.00507367469542873</v>
          </cell>
          <cell r="G103">
            <v>0.00507367469542873</v>
          </cell>
          <cell r="H103">
            <v>327.661245821123</v>
          </cell>
        </row>
        <row r="104">
          <cell r="L103">
            <v>0</v>
          </cell>
        </row>
        <row r="105">
          <cell r="B104" t="str">
            <v>景东县</v>
          </cell>
          <cell r="C104" t="str">
            <v>贫困</v>
          </cell>
          <cell r="D104">
            <v>2019</v>
          </cell>
          <cell r="E104" t="str">
            <v>省级</v>
          </cell>
          <cell r="F104">
            <v>0.00755729169911785</v>
          </cell>
          <cell r="G104">
            <v>0.00755729169911785</v>
          </cell>
          <cell r="H104">
            <v>488.054863942621</v>
          </cell>
        </row>
        <row r="105">
          <cell r="L104">
            <v>-50</v>
          </cell>
        </row>
        <row r="106">
          <cell r="B105" t="str">
            <v>江城县</v>
          </cell>
          <cell r="C105" t="str">
            <v>深度贫困</v>
          </cell>
          <cell r="D105">
            <v>2019</v>
          </cell>
          <cell r="E105" t="str">
            <v>省级</v>
          </cell>
          <cell r="F105">
            <v>0.00605565287374594</v>
          </cell>
          <cell r="G105">
            <v>0.00605565287374594</v>
          </cell>
          <cell r="H105">
            <v>391.07804184994</v>
          </cell>
        </row>
        <row r="106">
          <cell r="K105">
            <v>100</v>
          </cell>
          <cell r="L105">
            <v>0</v>
          </cell>
        </row>
        <row r="107">
          <cell r="B106" t="str">
            <v>澜沧县</v>
          </cell>
          <cell r="C106" t="str">
            <v>深度贫困</v>
          </cell>
          <cell r="D106">
            <v>2020</v>
          </cell>
          <cell r="E106" t="str">
            <v>国家</v>
          </cell>
          <cell r="F106">
            <v>0.0186210167900399</v>
          </cell>
          <cell r="G106">
            <v>0.0186210167900399</v>
          </cell>
          <cell r="H106">
            <v>1202.55750045972</v>
          </cell>
        </row>
        <row r="107">
          <cell r="L106">
            <v>0</v>
          </cell>
        </row>
        <row r="108">
          <cell r="B107" t="str">
            <v>孟连县</v>
          </cell>
          <cell r="C107" t="str">
            <v>贫困</v>
          </cell>
          <cell r="D107">
            <v>2018</v>
          </cell>
          <cell r="E107" t="str">
            <v>省级</v>
          </cell>
          <cell r="F107">
            <v>0.00489906081366651</v>
          </cell>
          <cell r="G107">
            <v>0.00489906081366651</v>
          </cell>
          <cell r="H107">
            <v>316.384566595429</v>
          </cell>
        </row>
        <row r="108">
          <cell r="L107">
            <v>0</v>
          </cell>
        </row>
        <row r="109">
          <cell r="B108" t="str">
            <v>西盟县</v>
          </cell>
          <cell r="C108" t="str">
            <v>贫困</v>
          </cell>
          <cell r="D108">
            <v>2018</v>
          </cell>
          <cell r="E108" t="str">
            <v>省级</v>
          </cell>
          <cell r="F108">
            <v>0.00618619059324678</v>
          </cell>
          <cell r="G108">
            <v>0.00618619059324678</v>
          </cell>
          <cell r="H108">
            <v>399.508253553665</v>
          </cell>
        </row>
        <row r="109">
          <cell r="K108">
            <v>100</v>
          </cell>
          <cell r="L108">
            <v>0</v>
          </cell>
        </row>
        <row r="110">
          <cell r="B109" t="str">
            <v>西双版纳州合计</v>
          </cell>
          <cell r="C109">
            <v>1</v>
          </cell>
        </row>
        <row r="110">
          <cell r="F109">
            <v>0.0139018865892694</v>
          </cell>
          <cell r="G109">
            <v>0.0139018865892694</v>
          </cell>
          <cell r="H109">
            <v>897.792971080314</v>
          </cell>
        </row>
        <row r="110">
          <cell r="J109">
            <v>0</v>
          </cell>
          <cell r="K109">
            <v>100</v>
          </cell>
          <cell r="L109">
            <v>-900</v>
          </cell>
        </row>
        <row r="111">
          <cell r="B110" t="str">
            <v>西双版纳州本级</v>
          </cell>
          <cell r="C110">
            <v>2</v>
          </cell>
        </row>
        <row r="112">
          <cell r="B111" t="str">
            <v>县级小计</v>
          </cell>
          <cell r="C111">
            <v>3</v>
          </cell>
        </row>
        <row r="112">
          <cell r="F111">
            <v>0.0139018865892694</v>
          </cell>
          <cell r="G111">
            <v>0.0139018865892694</v>
          </cell>
          <cell r="H111">
            <v>897.792971080314</v>
          </cell>
        </row>
        <row r="112">
          <cell r="J111">
            <v>0</v>
          </cell>
          <cell r="K111">
            <v>100</v>
          </cell>
          <cell r="L111">
            <v>-900</v>
          </cell>
        </row>
        <row r="113">
          <cell r="B112" t="str">
            <v>景洪市</v>
          </cell>
          <cell r="C112" t="str">
            <v>非贫困县</v>
          </cell>
        </row>
        <row r="113">
          <cell r="F112">
            <v>0.00369593168277788</v>
          </cell>
          <cell r="G112">
            <v>0.00369593168277788</v>
          </cell>
          <cell r="H112">
            <v>238.685696727829</v>
          </cell>
        </row>
        <row r="113">
          <cell r="L112">
            <v>-500</v>
          </cell>
        </row>
        <row r="114">
          <cell r="B113" t="str">
            <v>勐海县</v>
          </cell>
          <cell r="C113" t="str">
            <v>贫困</v>
          </cell>
          <cell r="D113">
            <v>2017</v>
          </cell>
        </row>
        <row r="114">
          <cell r="F113">
            <v>0.00564007980974945</v>
          </cell>
          <cell r="G113">
            <v>0.00564007980974945</v>
          </cell>
          <cell r="H113">
            <v>364.240060297541</v>
          </cell>
        </row>
        <row r="114">
          <cell r="K113">
            <v>100</v>
          </cell>
          <cell r="L113">
            <v>-250</v>
          </cell>
        </row>
        <row r="115">
          <cell r="B114" t="str">
            <v>勐腊县</v>
          </cell>
          <cell r="C114" t="str">
            <v>贫困</v>
          </cell>
          <cell r="D114">
            <v>2018</v>
          </cell>
        </row>
        <row r="115">
          <cell r="F114">
            <v>0.00456587509674203</v>
          </cell>
          <cell r="G114">
            <v>0.00456587509674203</v>
          </cell>
          <cell r="H114">
            <v>294.867214054944</v>
          </cell>
        </row>
        <row r="115">
          <cell r="L114">
            <v>-150</v>
          </cell>
        </row>
        <row r="116">
          <cell r="B115" t="str">
            <v>楚雄州合计</v>
          </cell>
          <cell r="C115">
            <v>1</v>
          </cell>
        </row>
        <row r="116">
          <cell r="F115">
            <v>0.0586011134820079</v>
          </cell>
          <cell r="G115">
            <v>0.0586011134820079</v>
          </cell>
          <cell r="H115">
            <v>3784.49841636866</v>
          </cell>
        </row>
        <row r="116">
          <cell r="J115">
            <v>0</v>
          </cell>
          <cell r="K115">
            <v>0</v>
          </cell>
          <cell r="L115">
            <v>-150</v>
          </cell>
        </row>
        <row r="117">
          <cell r="B116" t="str">
            <v>楚雄州本级</v>
          </cell>
          <cell r="C116">
            <v>2</v>
          </cell>
        </row>
        <row r="118">
          <cell r="B117" t="str">
            <v>县级小计</v>
          </cell>
          <cell r="C117">
            <v>3</v>
          </cell>
        </row>
        <row r="118">
          <cell r="F117">
            <v>0.0586011134820079</v>
          </cell>
          <cell r="G117">
            <v>0.0586011134820079</v>
          </cell>
          <cell r="H117">
            <v>3784.49841636866</v>
          </cell>
        </row>
        <row r="118">
          <cell r="J117">
            <v>0</v>
          </cell>
          <cell r="K117">
            <v>0</v>
          </cell>
          <cell r="L117">
            <v>-150</v>
          </cell>
        </row>
        <row r="119">
          <cell r="B118" t="str">
            <v>楚雄市</v>
          </cell>
          <cell r="C118" t="str">
            <v>非贫困县</v>
          </cell>
        </row>
        <row r="119">
          <cell r="F118">
            <v>0.00485219503878527</v>
          </cell>
          <cell r="G118">
            <v>0.00485219503878527</v>
          </cell>
          <cell r="H118">
            <v>313.357944057371</v>
          </cell>
        </row>
        <row r="119">
          <cell r="L118">
            <v>-50</v>
          </cell>
        </row>
        <row r="120">
          <cell r="B119" t="str">
            <v>双柏县</v>
          </cell>
          <cell r="C119" t="str">
            <v>贫困</v>
          </cell>
          <cell r="D119">
            <v>2018</v>
          </cell>
        </row>
        <row r="120">
          <cell r="F119">
            <v>0.00441498314673516</v>
          </cell>
          <cell r="G119">
            <v>0.00441498314673516</v>
          </cell>
          <cell r="H119">
            <v>285.122512770059</v>
          </cell>
        </row>
        <row r="120">
          <cell r="L119">
            <v>0</v>
          </cell>
        </row>
        <row r="121">
          <cell r="B120" t="str">
            <v>牟定县</v>
          </cell>
          <cell r="C120" t="str">
            <v>贫困</v>
          </cell>
          <cell r="D120">
            <v>2017</v>
          </cell>
        </row>
        <row r="121">
          <cell r="F120">
            <v>0.00580295413005528</v>
          </cell>
          <cell r="G120">
            <v>0.00580295413005528</v>
          </cell>
          <cell r="H120">
            <v>374.758590930134</v>
          </cell>
        </row>
        <row r="121">
          <cell r="L120">
            <v>-50</v>
          </cell>
        </row>
        <row r="122">
          <cell r="B121" t="str">
            <v>南华县</v>
          </cell>
          <cell r="C121" t="str">
            <v>贫困</v>
          </cell>
          <cell r="D121">
            <v>2018</v>
          </cell>
        </row>
        <row r="122">
          <cell r="F121">
            <v>0.00627566504216094</v>
          </cell>
          <cell r="G121">
            <v>0.00627566504216094</v>
          </cell>
          <cell r="H121">
            <v>405.286572259589</v>
          </cell>
        </row>
        <row r="122">
          <cell r="L121">
            <v>0</v>
          </cell>
        </row>
        <row r="123">
          <cell r="B122" t="str">
            <v>姚安县</v>
          </cell>
          <cell r="C122" t="str">
            <v>贫困</v>
          </cell>
          <cell r="D122">
            <v>2017</v>
          </cell>
        </row>
        <row r="123">
          <cell r="F122">
            <v>0.00376177904841404</v>
          </cell>
          <cell r="G122">
            <v>0.00376177904841404</v>
          </cell>
          <cell r="H122">
            <v>242.938162869937</v>
          </cell>
        </row>
        <row r="123">
          <cell r="L122">
            <v>0</v>
          </cell>
        </row>
        <row r="124">
          <cell r="B123" t="str">
            <v>大姚县</v>
          </cell>
          <cell r="C123" t="str">
            <v>贫困</v>
          </cell>
          <cell r="D123">
            <v>2018</v>
          </cell>
        </row>
        <row r="124">
          <cell r="F123">
            <v>0.00542056873506406</v>
          </cell>
          <cell r="G123">
            <v>0.00542056873506406</v>
          </cell>
          <cell r="H123">
            <v>350.063890850227</v>
          </cell>
        </row>
        <row r="124">
          <cell r="L123">
            <v>0</v>
          </cell>
        </row>
        <row r="125">
          <cell r="B124" t="str">
            <v>永仁县</v>
          </cell>
          <cell r="C124" t="str">
            <v>贫困</v>
          </cell>
          <cell r="D124">
            <v>2018</v>
          </cell>
        </row>
        <row r="125">
          <cell r="F124">
            <v>0.00450502751463628</v>
          </cell>
          <cell r="G124">
            <v>0.00450502751463628</v>
          </cell>
          <cell r="H124">
            <v>290.937637218665</v>
          </cell>
        </row>
        <row r="125">
          <cell r="L124">
            <v>0</v>
          </cell>
        </row>
        <row r="126">
          <cell r="B125" t="str">
            <v>元谋县</v>
          </cell>
          <cell r="C125" t="str">
            <v>非贫困县</v>
          </cell>
        </row>
        <row r="126">
          <cell r="F125">
            <v>0.00533441360420034</v>
          </cell>
          <cell r="G125">
            <v>0.00533441360420034</v>
          </cell>
          <cell r="H125">
            <v>344.499935885175</v>
          </cell>
        </row>
        <row r="126">
          <cell r="L125">
            <v>-50</v>
          </cell>
        </row>
        <row r="127">
          <cell r="B126" t="str">
            <v>武定县</v>
          </cell>
          <cell r="C126" t="str">
            <v>深度贫困</v>
          </cell>
          <cell r="D126">
            <v>2019</v>
          </cell>
          <cell r="E126" t="str">
            <v>国家</v>
          </cell>
          <cell r="F126">
            <v>0.0128898791375551</v>
          </cell>
          <cell r="G126">
            <v>0.0128898791375551</v>
          </cell>
          <cell r="H126">
            <v>832.436864842814</v>
          </cell>
        </row>
        <row r="127">
          <cell r="L126">
            <v>0</v>
          </cell>
        </row>
        <row r="128">
          <cell r="B127" t="str">
            <v>禄丰市</v>
          </cell>
          <cell r="C127" t="str">
            <v>非贫困县</v>
          </cell>
        </row>
        <row r="128">
          <cell r="F127">
            <v>0.00534364808440151</v>
          </cell>
          <cell r="G127">
            <v>0.00534364808440151</v>
          </cell>
          <cell r="H127">
            <v>345.096304684687</v>
          </cell>
        </row>
        <row r="128">
          <cell r="L127">
            <v>0</v>
          </cell>
        </row>
        <row r="129">
          <cell r="B128" t="str">
            <v>大理州合计</v>
          </cell>
          <cell r="C128">
            <v>1</v>
          </cell>
        </row>
        <row r="129">
          <cell r="F128">
            <v>0.0621116008969501</v>
          </cell>
          <cell r="G128">
            <v>0.0540612719242984</v>
          </cell>
          <cell r="H128">
            <v>3491.31246537147</v>
          </cell>
        </row>
        <row r="129">
          <cell r="J128">
            <v>400</v>
          </cell>
          <cell r="K128">
            <v>0</v>
          </cell>
          <cell r="L128">
            <v>-350</v>
          </cell>
        </row>
        <row r="130">
          <cell r="B129" t="str">
            <v>大理州本级</v>
          </cell>
          <cell r="C129">
            <v>2</v>
          </cell>
        </row>
        <row r="131">
          <cell r="B130" t="str">
            <v>县级小计</v>
          </cell>
          <cell r="C130">
            <v>3</v>
          </cell>
        </row>
        <row r="131">
          <cell r="F130">
            <v>0.0621116008969501</v>
          </cell>
          <cell r="G130">
            <v>0.0540612719242984</v>
          </cell>
          <cell r="H130">
            <v>3491.31246537147</v>
          </cell>
        </row>
        <row r="131">
          <cell r="J130">
            <v>400</v>
          </cell>
          <cell r="K130">
            <v>0</v>
          </cell>
          <cell r="L130">
            <v>-350</v>
          </cell>
        </row>
        <row r="132">
          <cell r="B131" t="str">
            <v>大理市</v>
          </cell>
          <cell r="C131" t="str">
            <v>非贫困县</v>
          </cell>
        </row>
        <row r="132">
          <cell r="F131">
            <v>0.00160125548222986</v>
          </cell>
          <cell r="G131">
            <v>0</v>
          </cell>
          <cell r="H131">
            <v>0</v>
          </cell>
        </row>
        <row r="132">
          <cell r="L131">
            <v>0</v>
          </cell>
        </row>
        <row r="133">
          <cell r="B132" t="str">
            <v>漾濞县</v>
          </cell>
          <cell r="C132" t="str">
            <v>贫困</v>
          </cell>
          <cell r="D132">
            <v>2018</v>
          </cell>
        </row>
        <row r="133">
          <cell r="F132">
            <v>0.00245315107094489</v>
          </cell>
          <cell r="G132">
            <v>0</v>
          </cell>
          <cell r="H132">
            <v>0</v>
          </cell>
        </row>
        <row r="134">
          <cell r="B133" t="str">
            <v>祥云县</v>
          </cell>
          <cell r="C133" t="str">
            <v>贫困</v>
          </cell>
          <cell r="D133">
            <v>2017</v>
          </cell>
        </row>
        <row r="134">
          <cell r="F133">
            <v>0.00532572376796502</v>
          </cell>
          <cell r="G133">
            <v>0.00532572376796502</v>
          </cell>
          <cell r="H133">
            <v>343.938740550872</v>
          </cell>
        </row>
        <row r="134">
          <cell r="L133">
            <v>0</v>
          </cell>
        </row>
        <row r="135">
          <cell r="B134" t="str">
            <v>宾川县</v>
          </cell>
          <cell r="C134" t="str">
            <v>贫困</v>
          </cell>
          <cell r="D134">
            <v>2017</v>
          </cell>
        </row>
        <row r="135">
          <cell r="F134">
            <v>0.00497661093989762</v>
          </cell>
          <cell r="G134">
            <v>0.00497661093989762</v>
          </cell>
          <cell r="H134">
            <v>321.392804706825</v>
          </cell>
        </row>
        <row r="135">
          <cell r="L134">
            <v>0</v>
          </cell>
        </row>
        <row r="136">
          <cell r="B135" t="str">
            <v>弥渡县</v>
          </cell>
          <cell r="C135" t="str">
            <v>贫困</v>
          </cell>
          <cell r="D135">
            <v>2019</v>
          </cell>
          <cell r="E135" t="str">
            <v>省级</v>
          </cell>
          <cell r="F135">
            <v>0.00831556264664882</v>
          </cell>
          <cell r="G135">
            <v>0.00831556264664882</v>
          </cell>
          <cell r="H135">
            <v>537.024500005772</v>
          </cell>
        </row>
        <row r="136">
          <cell r="L135">
            <v>-50</v>
          </cell>
        </row>
        <row r="137">
          <cell r="B136" t="str">
            <v>南涧县</v>
          </cell>
          <cell r="C136" t="str">
            <v>贫困</v>
          </cell>
          <cell r="D136">
            <v>2018</v>
          </cell>
          <cell r="E136" t="str">
            <v>省级</v>
          </cell>
          <cell r="F136">
            <v>0.00754645096326806</v>
          </cell>
          <cell r="G136">
            <v>0.00754645096326806</v>
          </cell>
          <cell r="H136">
            <v>487.354762097826</v>
          </cell>
        </row>
        <row r="137">
          <cell r="L136">
            <v>0</v>
          </cell>
        </row>
        <row r="138">
          <cell r="B137" t="str">
            <v>巍山县</v>
          </cell>
          <cell r="C137" t="str">
            <v>贫困</v>
          </cell>
          <cell r="D137">
            <v>2017</v>
          </cell>
          <cell r="E137" t="str">
            <v>省级</v>
          </cell>
          <cell r="F137">
            <v>0.00534259189804451</v>
          </cell>
          <cell r="G137">
            <v>0.00534259189804451</v>
          </cell>
          <cell r="H137">
            <v>345.028095475715</v>
          </cell>
        </row>
        <row r="138">
          <cell r="L137">
            <v>-50</v>
          </cell>
        </row>
        <row r="139">
          <cell r="B138" t="str">
            <v>永平县</v>
          </cell>
          <cell r="C138" t="str">
            <v>贫困</v>
          </cell>
          <cell r="D138">
            <v>2018</v>
          </cell>
          <cell r="E138" t="str">
            <v>省级</v>
          </cell>
          <cell r="F138">
            <v>0.0047246484121254</v>
          </cell>
          <cell r="G138">
            <v>0.0047246484121254</v>
          </cell>
          <cell r="H138">
            <v>305.12089909481</v>
          </cell>
          <cell r="I138" t="str">
            <v>A</v>
          </cell>
          <cell r="J138">
            <v>200</v>
          </cell>
        </row>
        <row r="139">
          <cell r="L138">
            <v>-50</v>
          </cell>
        </row>
        <row r="140">
          <cell r="B139" t="str">
            <v>云龙县</v>
          </cell>
          <cell r="C139" t="str">
            <v>贫困</v>
          </cell>
          <cell r="D139">
            <v>2019</v>
          </cell>
          <cell r="E139" t="str">
            <v>省级</v>
          </cell>
          <cell r="F139">
            <v>0.00754278387446502</v>
          </cell>
          <cell r="G139">
            <v>0.00754278387446502</v>
          </cell>
          <cell r="H139">
            <v>487.117939093225</v>
          </cell>
        </row>
        <row r="140">
          <cell r="L139">
            <v>-50</v>
          </cell>
        </row>
        <row r="141">
          <cell r="B140" t="str">
            <v>洱源县</v>
          </cell>
          <cell r="C140" t="str">
            <v>贫困</v>
          </cell>
          <cell r="D140">
            <v>2017</v>
          </cell>
          <cell r="E140" t="str">
            <v>省级</v>
          </cell>
          <cell r="F140">
            <v>0.00517289116024545</v>
          </cell>
          <cell r="G140">
            <v>0.00517289116024545</v>
          </cell>
          <cell r="H140">
            <v>334.068710315665</v>
          </cell>
        </row>
        <row r="141">
          <cell r="L140">
            <v>0</v>
          </cell>
        </row>
        <row r="142">
          <cell r="B141" t="str">
            <v>剑川县</v>
          </cell>
          <cell r="C141" t="str">
            <v>贫困</v>
          </cell>
          <cell r="D141">
            <v>2019</v>
          </cell>
          <cell r="E141" t="str">
            <v>省级</v>
          </cell>
          <cell r="F141">
            <v>0.00511400826163851</v>
          </cell>
          <cell r="G141">
            <v>0.00511400826163851</v>
          </cell>
          <cell r="H141">
            <v>330.266014030763</v>
          </cell>
        </row>
        <row r="142">
          <cell r="L141">
            <v>0</v>
          </cell>
        </row>
        <row r="143">
          <cell r="B142" t="str">
            <v>鹤庆县</v>
          </cell>
          <cell r="C142" t="str">
            <v>贫困</v>
          </cell>
          <cell r="D142">
            <v>2017</v>
          </cell>
        </row>
        <row r="143">
          <cell r="F142">
            <v>0.00399592241947698</v>
          </cell>
          <cell r="G142">
            <v>0</v>
          </cell>
          <cell r="H142">
            <v>0</v>
          </cell>
          <cell r="I142" t="str">
            <v>A</v>
          </cell>
          <cell r="J142">
            <v>200</v>
          </cell>
        </row>
        <row r="143">
          <cell r="L142">
            <v>-150</v>
          </cell>
        </row>
        <row r="144">
          <cell r="B143" t="str">
            <v>保山市合计</v>
          </cell>
          <cell r="C143">
            <v>1</v>
          </cell>
        </row>
        <row r="144">
          <cell r="F143">
            <v>0.0273358137512297</v>
          </cell>
          <cell r="G143">
            <v>0.00786685590224609</v>
          </cell>
          <cell r="H143">
            <v>508.046723600082</v>
          </cell>
        </row>
        <row r="144">
          <cell r="J143">
            <v>400</v>
          </cell>
          <cell r="K143">
            <v>0</v>
          </cell>
          <cell r="L143">
            <v>-100</v>
          </cell>
        </row>
        <row r="145">
          <cell r="B144" t="str">
            <v>保山市本级</v>
          </cell>
          <cell r="C144">
            <v>2</v>
          </cell>
        </row>
        <row r="146">
          <cell r="B145" t="str">
            <v>县级小计</v>
          </cell>
          <cell r="C145">
            <v>3</v>
          </cell>
        </row>
        <row r="146">
          <cell r="F145">
            <v>0.0273358137512297</v>
          </cell>
          <cell r="G145">
            <v>0.00786685590224609</v>
          </cell>
          <cell r="H145">
            <v>508.046723600082</v>
          </cell>
        </row>
        <row r="146">
          <cell r="J145">
            <v>400</v>
          </cell>
          <cell r="K145">
            <v>0</v>
          </cell>
          <cell r="L145">
            <v>-100</v>
          </cell>
        </row>
        <row r="147">
          <cell r="B146" t="str">
            <v>隆阳区</v>
          </cell>
          <cell r="C146" t="str">
            <v>贫困</v>
          </cell>
          <cell r="D146">
            <v>2019</v>
          </cell>
        </row>
        <row r="147">
          <cell r="F146">
            <v>0.00500525370151727</v>
          </cell>
          <cell r="G146">
            <v>0</v>
          </cell>
          <cell r="H146">
            <v>0</v>
          </cell>
          <cell r="I146" t="str">
            <v>A</v>
          </cell>
          <cell r="J146">
            <v>200</v>
          </cell>
        </row>
        <row r="147">
          <cell r="L146">
            <v>0</v>
          </cell>
        </row>
        <row r="148">
          <cell r="B147" t="str">
            <v>施甸县</v>
          </cell>
          <cell r="C147" t="str">
            <v>贫困</v>
          </cell>
          <cell r="D147">
            <v>2019</v>
          </cell>
          <cell r="E147" t="str">
            <v>省级</v>
          </cell>
          <cell r="F147">
            <v>0.00547563391365329</v>
          </cell>
          <cell r="G147">
            <v>0</v>
          </cell>
          <cell r="H147">
            <v>0</v>
          </cell>
        </row>
        <row r="149">
          <cell r="B148" t="str">
            <v>腾冲市</v>
          </cell>
          <cell r="C148" t="str">
            <v>非贫困县</v>
          </cell>
        </row>
        <row r="149">
          <cell r="F148">
            <v>0.00623338409668059</v>
          </cell>
          <cell r="G148">
            <v>0</v>
          </cell>
          <cell r="H148">
            <v>0</v>
          </cell>
        </row>
        <row r="149">
          <cell r="L148">
            <v>0</v>
          </cell>
        </row>
        <row r="150">
          <cell r="B149" t="str">
            <v>昌宁县</v>
          </cell>
          <cell r="C149" t="str">
            <v>贫困</v>
          </cell>
          <cell r="D149">
            <v>2018</v>
          </cell>
        </row>
        <row r="150">
          <cell r="F149">
            <v>0.00786685590224609</v>
          </cell>
          <cell r="G149">
            <v>0.00786685590224609</v>
          </cell>
          <cell r="H149">
            <v>508.046723600082</v>
          </cell>
          <cell r="I149" t="str">
            <v>A</v>
          </cell>
          <cell r="J149">
            <v>200</v>
          </cell>
        </row>
        <row r="150">
          <cell r="L149">
            <v>-50</v>
          </cell>
        </row>
        <row r="151">
          <cell r="B150" t="str">
            <v>龙陵县</v>
          </cell>
          <cell r="C150" t="str">
            <v>贫困</v>
          </cell>
          <cell r="D150">
            <v>2018</v>
          </cell>
        </row>
        <row r="151">
          <cell r="F150">
            <v>0.00275468613713249</v>
          </cell>
          <cell r="G150">
            <v>0</v>
          </cell>
          <cell r="H150">
            <v>0</v>
          </cell>
        </row>
        <row r="151">
          <cell r="L150">
            <v>-50</v>
          </cell>
        </row>
        <row r="152">
          <cell r="B151" t="str">
            <v>德宏州合计</v>
          </cell>
          <cell r="C151">
            <v>1</v>
          </cell>
        </row>
        <row r="152">
          <cell r="F151">
            <v>0.0242363687389859</v>
          </cell>
          <cell r="G151">
            <v>0.0205918826456996</v>
          </cell>
          <cell r="H151">
            <v>1329.83731250475</v>
          </cell>
        </row>
        <row r="152">
          <cell r="J151">
            <v>400</v>
          </cell>
          <cell r="K151">
            <v>100</v>
          </cell>
          <cell r="L151">
            <v>-50</v>
          </cell>
        </row>
        <row r="153">
          <cell r="B152" t="str">
            <v>德宏州本级</v>
          </cell>
          <cell r="C152">
            <v>2</v>
          </cell>
        </row>
        <row r="153">
          <cell r="K152">
            <v>100</v>
          </cell>
        </row>
        <row r="154">
          <cell r="B153" t="str">
            <v>县级小计</v>
          </cell>
          <cell r="C153">
            <v>3</v>
          </cell>
        </row>
        <row r="154">
          <cell r="F153">
            <v>0.0242363687389859</v>
          </cell>
          <cell r="G153">
            <v>0.0205918826456996</v>
          </cell>
          <cell r="H153">
            <v>1329.83731250475</v>
          </cell>
        </row>
        <row r="154">
          <cell r="J153">
            <v>400</v>
          </cell>
          <cell r="K153">
            <v>0</v>
          </cell>
          <cell r="L153">
            <v>-50</v>
          </cell>
        </row>
        <row r="155">
          <cell r="B154" t="str">
            <v>芒市</v>
          </cell>
          <cell r="C154" t="str">
            <v>贫困</v>
          </cell>
          <cell r="D154">
            <v>2017</v>
          </cell>
        </row>
        <row r="155">
          <cell r="F154">
            <v>0.00364448609328631</v>
          </cell>
          <cell r="G154">
            <v>0</v>
          </cell>
          <cell r="H154">
            <v>0</v>
          </cell>
          <cell r="I154" t="str">
            <v>A</v>
          </cell>
          <cell r="J154">
            <v>200</v>
          </cell>
        </row>
        <row r="155">
          <cell r="L154">
            <v>0</v>
          </cell>
        </row>
        <row r="156">
          <cell r="B155" t="str">
            <v>梁河县</v>
          </cell>
          <cell r="C155" t="str">
            <v>贫困</v>
          </cell>
          <cell r="D155">
            <v>2019</v>
          </cell>
          <cell r="E155" t="str">
            <v>省级</v>
          </cell>
          <cell r="F155">
            <v>0.00567811939002894</v>
          </cell>
          <cell r="G155">
            <v>0.00567811939002894</v>
          </cell>
          <cell r="H155">
            <v>366.696681388389</v>
          </cell>
          <cell r="I155" t="str">
            <v>A</v>
          </cell>
          <cell r="J155">
            <v>200</v>
          </cell>
        </row>
        <row r="156">
          <cell r="L155">
            <v>0</v>
          </cell>
        </row>
        <row r="157">
          <cell r="B156" t="str">
            <v>盈江县</v>
          </cell>
          <cell r="C156" t="str">
            <v>贫困</v>
          </cell>
          <cell r="D156">
            <v>2018</v>
          </cell>
          <cell r="E156" t="str">
            <v>省级</v>
          </cell>
          <cell r="F156">
            <v>0.00595936142535312</v>
          </cell>
          <cell r="G156">
            <v>0.00595936142535312</v>
          </cell>
          <cell r="H156">
            <v>384.859476838128</v>
          </cell>
        </row>
        <row r="157">
          <cell r="L156">
            <v>0</v>
          </cell>
        </row>
        <row r="158">
          <cell r="B157" t="str">
            <v>陇川县</v>
          </cell>
          <cell r="C157" t="str">
            <v>贫困</v>
          </cell>
          <cell r="D157">
            <v>2018</v>
          </cell>
          <cell r="E157" t="str">
            <v>省级</v>
          </cell>
          <cell r="F157">
            <v>0.00535450945797107</v>
          </cell>
          <cell r="G157">
            <v>0.00535450945797107</v>
          </cell>
          <cell r="H157">
            <v>345.797739326986</v>
          </cell>
        </row>
        <row r="158">
          <cell r="L157">
            <v>-50</v>
          </cell>
        </row>
        <row r="159">
          <cell r="B158" t="str">
            <v>瑞丽市</v>
          </cell>
          <cell r="C158" t="str">
            <v>非贫困县</v>
          </cell>
        </row>
        <row r="159">
          <cell r="F158">
            <v>0.00359989237234646</v>
          </cell>
          <cell r="G158">
            <v>0.00359989237234646</v>
          </cell>
          <cell r="H158">
            <v>232.483414951247</v>
          </cell>
        </row>
        <row r="159">
          <cell r="L158">
            <v>0</v>
          </cell>
        </row>
        <row r="160">
          <cell r="B159" t="str">
            <v>丽江市合计</v>
          </cell>
          <cell r="C159">
            <v>1</v>
          </cell>
        </row>
        <row r="160">
          <cell r="F159">
            <v>0.0317662964249417</v>
          </cell>
          <cell r="G159">
            <v>0.0317662964249417</v>
          </cell>
          <cell r="H159">
            <v>2051.48829724882</v>
          </cell>
        </row>
        <row r="160">
          <cell r="J159">
            <v>300</v>
          </cell>
          <cell r="K159">
            <v>0</v>
          </cell>
          <cell r="L159">
            <v>-150</v>
          </cell>
        </row>
        <row r="161">
          <cell r="B160" t="str">
            <v>丽江市本级</v>
          </cell>
          <cell r="C160">
            <v>2</v>
          </cell>
        </row>
        <row r="162">
          <cell r="B161" t="str">
            <v>县级小计</v>
          </cell>
          <cell r="C161">
            <v>3</v>
          </cell>
        </row>
        <row r="162">
          <cell r="F161">
            <v>0.0317662964249417</v>
          </cell>
          <cell r="G161">
            <v>0.0317662964249417</v>
          </cell>
          <cell r="H161">
            <v>2051.48829724882</v>
          </cell>
        </row>
        <row r="162">
          <cell r="J161">
            <v>300</v>
          </cell>
          <cell r="K161">
            <v>0</v>
          </cell>
          <cell r="L161">
            <v>-150</v>
          </cell>
        </row>
        <row r="163">
          <cell r="B162" t="str">
            <v>古城区</v>
          </cell>
          <cell r="C162" t="str">
            <v>非贫困县</v>
          </cell>
        </row>
        <row r="163">
          <cell r="F162">
            <v>0.00273102615527384</v>
          </cell>
          <cell r="G162">
            <v>0.00273102615527384</v>
          </cell>
          <cell r="H162">
            <v>176.37146370723</v>
          </cell>
        </row>
        <row r="163">
          <cell r="L162">
            <v>0</v>
          </cell>
        </row>
        <row r="164">
          <cell r="B163" t="str">
            <v>永胜县</v>
          </cell>
          <cell r="C163" t="str">
            <v>贫困</v>
          </cell>
          <cell r="D163">
            <v>2019</v>
          </cell>
          <cell r="E163" t="str">
            <v>省级</v>
          </cell>
          <cell r="F163">
            <v>0.00767458099123288</v>
          </cell>
          <cell r="G163">
            <v>0.00767458099123288</v>
          </cell>
          <cell r="H163">
            <v>495.629483500023</v>
          </cell>
          <cell r="I163" t="str">
            <v>A</v>
          </cell>
          <cell r="J163">
            <v>200</v>
          </cell>
        </row>
        <row r="164">
          <cell r="L163">
            <v>0</v>
          </cell>
        </row>
        <row r="165">
          <cell r="B164" t="str">
            <v>华坪县</v>
          </cell>
          <cell r="C164" t="str">
            <v>非贫困县</v>
          </cell>
        </row>
        <row r="165">
          <cell r="F164">
            <v>0.00407555222114818</v>
          </cell>
          <cell r="G164">
            <v>0.00407555222114818</v>
          </cell>
          <cell r="H164">
            <v>263.201840550326</v>
          </cell>
          <cell r="I164" t="str">
            <v>A</v>
          </cell>
          <cell r="J164">
            <v>100</v>
          </cell>
        </row>
        <row r="165">
          <cell r="L164">
            <v>-100</v>
          </cell>
        </row>
        <row r="166">
          <cell r="B165" t="str">
            <v>宁蒗县</v>
          </cell>
          <cell r="C165" t="str">
            <v>深度贫困</v>
          </cell>
          <cell r="D165">
            <v>2020</v>
          </cell>
          <cell r="E165" t="str">
            <v>国家</v>
          </cell>
          <cell r="F165">
            <v>0.0131421504966009</v>
          </cell>
          <cell r="G165">
            <v>0.0131421504966009</v>
          </cell>
          <cell r="H165">
            <v>848.728714981414</v>
          </cell>
        </row>
        <row r="166">
          <cell r="L165">
            <v>-50</v>
          </cell>
        </row>
        <row r="167">
          <cell r="B166" t="str">
            <v>玉龙县</v>
          </cell>
          <cell r="C166" t="str">
            <v>贫困</v>
          </cell>
          <cell r="D166">
            <v>2017</v>
          </cell>
        </row>
        <row r="167">
          <cell r="F166">
            <v>0.00414298656068593</v>
          </cell>
          <cell r="G166">
            <v>0.00414298656068593</v>
          </cell>
          <cell r="H166">
            <v>267.556794509825</v>
          </cell>
        </row>
        <row r="167">
          <cell r="L166">
            <v>0</v>
          </cell>
        </row>
        <row r="168">
          <cell r="B167" t="str">
            <v>怒江州合计</v>
          </cell>
          <cell r="C167">
            <v>1</v>
          </cell>
        </row>
        <row r="168">
          <cell r="F167">
            <v>0.0653758212667837</v>
          </cell>
          <cell r="G167">
            <v>0.0653758212667837</v>
          </cell>
          <cell r="H167">
            <v>4222.01349687504</v>
          </cell>
        </row>
        <row r="168">
          <cell r="J167">
            <v>0</v>
          </cell>
          <cell r="K167">
            <v>0</v>
          </cell>
          <cell r="L167">
            <v>-50</v>
          </cell>
        </row>
        <row r="169">
          <cell r="B168" t="str">
            <v>怒江州本级</v>
          </cell>
          <cell r="C168">
            <v>2</v>
          </cell>
        </row>
        <row r="170">
          <cell r="B169" t="str">
            <v>县级小计</v>
          </cell>
          <cell r="C169">
            <v>3</v>
          </cell>
        </row>
        <row r="170">
          <cell r="F169">
            <v>0.0653758212667837</v>
          </cell>
          <cell r="G169">
            <v>0.0653758212667837</v>
          </cell>
          <cell r="H169">
            <v>4222.01349687504</v>
          </cell>
        </row>
        <row r="170">
          <cell r="J169">
            <v>0</v>
          </cell>
          <cell r="K169">
            <v>0</v>
          </cell>
          <cell r="L169">
            <v>-50</v>
          </cell>
        </row>
        <row r="171">
          <cell r="B170" t="str">
            <v>兰坪县</v>
          </cell>
          <cell r="C170" t="str">
            <v>深度贫困</v>
          </cell>
          <cell r="D170">
            <v>2020</v>
          </cell>
          <cell r="E170" t="str">
            <v>国家</v>
          </cell>
          <cell r="F170">
            <v>0.0215480771548357</v>
          </cell>
          <cell r="G170">
            <v>0.0215480771548357</v>
          </cell>
          <cell r="H170">
            <v>1391.588982235</v>
          </cell>
        </row>
        <row r="171">
          <cell r="L170">
            <v>-50</v>
          </cell>
        </row>
        <row r="172">
          <cell r="B171" t="str">
            <v>福贡县</v>
          </cell>
          <cell r="C171" t="str">
            <v>深度贫困</v>
          </cell>
          <cell r="D171">
            <v>2020</v>
          </cell>
          <cell r="E171" t="str">
            <v>国家</v>
          </cell>
          <cell r="F171">
            <v>0.0162670109969607</v>
          </cell>
          <cell r="G171">
            <v>0.0162670109969607</v>
          </cell>
          <cell r="H171">
            <v>1050.53425948895</v>
          </cell>
          <cell r="I171" t="str">
            <v>A</v>
          </cell>
        </row>
        <row r="172">
          <cell r="L171">
            <v>0</v>
          </cell>
        </row>
        <row r="173">
          <cell r="B172" t="str">
            <v>贡山县</v>
          </cell>
          <cell r="C172" t="str">
            <v>深度贫困</v>
          </cell>
          <cell r="D172">
            <v>2019</v>
          </cell>
          <cell r="E172" t="str">
            <v>国家</v>
          </cell>
          <cell r="F172">
            <v>0.00936383675996004</v>
          </cell>
          <cell r="G172">
            <v>0.00936383675996004</v>
          </cell>
          <cell r="H172">
            <v>604.722731080589</v>
          </cell>
        </row>
        <row r="173">
          <cell r="L172">
            <v>0</v>
          </cell>
        </row>
        <row r="174">
          <cell r="B173" t="str">
            <v>泸水市</v>
          </cell>
          <cell r="C173" t="str">
            <v>深度贫困</v>
          </cell>
          <cell r="D173">
            <v>2020</v>
          </cell>
          <cell r="E173" t="str">
            <v>国家</v>
          </cell>
          <cell r="F173">
            <v>0.0181968963550273</v>
          </cell>
          <cell r="G173">
            <v>0.0181968963550273</v>
          </cell>
          <cell r="H173">
            <v>1175.16752407049</v>
          </cell>
        </row>
        <row r="174">
          <cell r="L173">
            <v>0</v>
          </cell>
        </row>
        <row r="175">
          <cell r="B174" t="str">
            <v>迪庆州合计</v>
          </cell>
          <cell r="C174">
            <v>1</v>
          </cell>
        </row>
        <row r="175">
          <cell r="F174">
            <v>0.0309022400154904</v>
          </cell>
          <cell r="G174">
            <v>0.0309022400154904</v>
          </cell>
          <cell r="H174">
            <v>1995.68696654158</v>
          </cell>
        </row>
        <row r="175">
          <cell r="J174">
            <v>0</v>
          </cell>
          <cell r="K174">
            <v>0</v>
          </cell>
          <cell r="L174">
            <v>-200</v>
          </cell>
        </row>
        <row r="176">
          <cell r="B175" t="str">
            <v>迪庆州本级</v>
          </cell>
          <cell r="C175">
            <v>2</v>
          </cell>
        </row>
        <row r="177">
          <cell r="B176" t="str">
            <v>县级小计</v>
          </cell>
          <cell r="C176">
            <v>3</v>
          </cell>
        </row>
        <row r="177">
          <cell r="F176">
            <v>0.0309022400154904</v>
          </cell>
          <cell r="G176">
            <v>0.0309022400154904</v>
          </cell>
          <cell r="H176">
            <v>1995.68696654158</v>
          </cell>
        </row>
        <row r="177">
          <cell r="J176">
            <v>0</v>
          </cell>
          <cell r="K176">
            <v>0</v>
          </cell>
          <cell r="L176">
            <v>-200</v>
          </cell>
        </row>
        <row r="178">
          <cell r="B177" t="str">
            <v>香格里拉市</v>
          </cell>
          <cell r="C177" t="str">
            <v>深度贫困</v>
          </cell>
          <cell r="D177">
            <v>2018</v>
          </cell>
          <cell r="E177" t="str">
            <v>国家</v>
          </cell>
          <cell r="F177">
            <v>0.00979387737297412</v>
          </cell>
          <cell r="G177">
            <v>0.00979387737297412</v>
          </cell>
          <cell r="H177">
            <v>632.495036455395</v>
          </cell>
        </row>
        <row r="178">
          <cell r="L177">
            <v>-50</v>
          </cell>
        </row>
        <row r="179">
          <cell r="B178" t="str">
            <v>维西县</v>
          </cell>
          <cell r="C178" t="str">
            <v>深度贫困</v>
          </cell>
          <cell r="D178">
            <v>2019</v>
          </cell>
          <cell r="E178" t="str">
            <v>国家</v>
          </cell>
          <cell r="F178">
            <v>0.0122406035327209</v>
          </cell>
          <cell r="G178">
            <v>0.0122406035327209</v>
          </cell>
          <cell r="H178">
            <v>790.506219633551</v>
          </cell>
        </row>
        <row r="179">
          <cell r="L178">
            <v>-100</v>
          </cell>
        </row>
        <row r="180">
          <cell r="B179" t="str">
            <v>德钦县</v>
          </cell>
          <cell r="C179" t="str">
            <v>深度贫困</v>
          </cell>
          <cell r="D179">
            <v>2018</v>
          </cell>
          <cell r="E179" t="str">
            <v>国家</v>
          </cell>
          <cell r="F179">
            <v>0.00886775910979531</v>
          </cell>
          <cell r="G179">
            <v>0.00886775910979531</v>
          </cell>
          <cell r="H179">
            <v>572.685710452633</v>
          </cell>
        </row>
        <row r="180">
          <cell r="L179">
            <v>-50</v>
          </cell>
        </row>
        <row r="181">
          <cell r="B180" t="str">
            <v>临沧市合计</v>
          </cell>
          <cell r="C180">
            <v>1</v>
          </cell>
        </row>
        <row r="181">
          <cell r="F180">
            <v>0.043846906267109</v>
          </cell>
          <cell r="G180">
            <v>0.043846906267109</v>
          </cell>
          <cell r="H180">
            <v>2831.66201921208</v>
          </cell>
        </row>
        <row r="181">
          <cell r="J180">
            <v>200</v>
          </cell>
          <cell r="K180">
            <v>0</v>
          </cell>
          <cell r="L180">
            <v>-100</v>
          </cell>
        </row>
        <row r="182">
          <cell r="B181" t="str">
            <v>临沧市本级</v>
          </cell>
          <cell r="C181">
            <v>2</v>
          </cell>
        </row>
        <row r="183">
          <cell r="B182" t="str">
            <v>县级小计</v>
          </cell>
          <cell r="C182">
            <v>3</v>
          </cell>
        </row>
        <row r="183">
          <cell r="F182">
            <v>0.043846906267109</v>
          </cell>
          <cell r="G182">
            <v>0.043846906267109</v>
          </cell>
          <cell r="H182">
            <v>2831.66201921208</v>
          </cell>
        </row>
        <row r="183">
          <cell r="J182">
            <v>200</v>
          </cell>
          <cell r="K182">
            <v>0</v>
          </cell>
          <cell r="L182">
            <v>-100</v>
          </cell>
        </row>
        <row r="184">
          <cell r="B183" t="str">
            <v>凤庆县</v>
          </cell>
          <cell r="C183" t="str">
            <v>贫困</v>
          </cell>
          <cell r="D183">
            <v>2018</v>
          </cell>
          <cell r="E183" t="str">
            <v>省级</v>
          </cell>
          <cell r="F183">
            <v>0.00726134370525589</v>
          </cell>
          <cell r="G183">
            <v>0.00726134370525589</v>
          </cell>
          <cell r="H183">
            <v>468.942348026999</v>
          </cell>
        </row>
        <row r="184">
          <cell r="L183">
            <v>-50</v>
          </cell>
        </row>
        <row r="185">
          <cell r="B184" t="str">
            <v>云县</v>
          </cell>
          <cell r="C184" t="str">
            <v>贫困</v>
          </cell>
          <cell r="D184">
            <v>2017</v>
          </cell>
        </row>
        <row r="185">
          <cell r="F184">
            <v>0.00612799530645887</v>
          </cell>
          <cell r="G184">
            <v>0.00612799530645887</v>
          </cell>
          <cell r="H184">
            <v>395.749963691876</v>
          </cell>
        </row>
        <row r="185">
          <cell r="L184">
            <v>0</v>
          </cell>
        </row>
        <row r="186">
          <cell r="B185" t="str">
            <v>临翔区</v>
          </cell>
          <cell r="C185" t="str">
            <v>贫困</v>
          </cell>
          <cell r="D185">
            <v>2018</v>
          </cell>
        </row>
        <row r="186">
          <cell r="F185">
            <v>0.00583450119257302</v>
          </cell>
          <cell r="G185">
            <v>0.00583450119257302</v>
          </cell>
          <cell r="H185">
            <v>376.795920957593</v>
          </cell>
        </row>
        <row r="186">
          <cell r="L185">
            <v>0</v>
          </cell>
        </row>
        <row r="187">
          <cell r="B186" t="str">
            <v>永德县</v>
          </cell>
          <cell r="C186" t="str">
            <v>贫困</v>
          </cell>
          <cell r="D186">
            <v>2019</v>
          </cell>
          <cell r="E186" t="str">
            <v>省级</v>
          </cell>
          <cell r="F186">
            <v>0.00621801273156483</v>
          </cell>
          <cell r="G186">
            <v>0.00621801273156483</v>
          </cell>
          <cell r="H186">
            <v>401.563348157065</v>
          </cell>
        </row>
        <row r="187">
          <cell r="L186">
            <v>0</v>
          </cell>
        </row>
        <row r="188">
          <cell r="B187" t="str">
            <v>镇康县</v>
          </cell>
          <cell r="C187" t="str">
            <v>贫困</v>
          </cell>
          <cell r="D187">
            <v>2018</v>
          </cell>
        </row>
        <row r="188">
          <cell r="F187">
            <v>0.00437886087298196</v>
          </cell>
          <cell r="G187">
            <v>0.00437886087298196</v>
          </cell>
          <cell r="H187">
            <v>282.789712594571</v>
          </cell>
        </row>
        <row r="188">
          <cell r="L187">
            <v>-50</v>
          </cell>
        </row>
        <row r="189">
          <cell r="B188" t="str">
            <v>双江县</v>
          </cell>
          <cell r="C188" t="str">
            <v>贫困</v>
          </cell>
          <cell r="D188">
            <v>2018</v>
          </cell>
        </row>
        <row r="189">
          <cell r="F188">
            <v>0.00367974336501249</v>
          </cell>
          <cell r="G188">
            <v>0.00367974336501249</v>
          </cell>
          <cell r="H188">
            <v>237.640244528945</v>
          </cell>
          <cell r="I188" t="str">
            <v>A</v>
          </cell>
          <cell r="J188">
            <v>200</v>
          </cell>
        </row>
        <row r="189">
          <cell r="L188">
            <v>0</v>
          </cell>
        </row>
        <row r="190">
          <cell r="B189" t="str">
            <v>耿马县</v>
          </cell>
          <cell r="C189" t="str">
            <v>贫困</v>
          </cell>
          <cell r="D189">
            <v>2018</v>
          </cell>
        </row>
        <row r="190">
          <cell r="F189">
            <v>0.00483342070395224</v>
          </cell>
          <cell r="G189">
            <v>0.00483342070395224</v>
          </cell>
          <cell r="H189">
            <v>312.145485176947</v>
          </cell>
        </row>
        <row r="190">
          <cell r="L189">
            <v>0</v>
          </cell>
        </row>
        <row r="191">
          <cell r="B190" t="str">
            <v>沧源县</v>
          </cell>
          <cell r="C190" t="str">
            <v>贫困</v>
          </cell>
          <cell r="D190">
            <v>2018</v>
          </cell>
          <cell r="E190" t="str">
            <v>省级</v>
          </cell>
          <cell r="F190">
            <v>0.00551302838930972</v>
          </cell>
          <cell r="G190">
            <v>0.00551302838930972</v>
          </cell>
          <cell r="H190">
            <v>356.034996078084</v>
          </cell>
        </row>
        <row r="191">
          <cell r="L190">
            <v>0</v>
          </cell>
        </row>
      </sheetData>
      <sheetData sheetId="2"/>
      <sheetData sheetId="3"/>
      <sheetData sheetId="4"/>
      <sheetData sheetId="5"/>
      <sheetData sheetId="6"/>
      <sheetData sheetId="7"/>
    </sheetDataSet>
  </externalBook>
</externalLink>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Cambria"/>
        <a:cs typeface="Arial"/>
      </a:majorFont>
      <a:minorFont>
        <a:latin typeface="等线"/>
        <a:ea typeface="等线"/>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
    <outlinePr applyStyles="0" summaryBelow="1" summaryRight="1" showOutlineSymbols="1"/>
    <pageSetUpPr autoPageBreaks="1" fitToPage="1"/>
  </sheetPr>
  <sheetViews>
    <sheetView zoomScale="85" workbookViewId="0">
      <pane xSplit="3" ySplit="7" topLeftCell="D8" activePane="bottomRight" state="frozen"/>
      <selection activeCell="A1" activeCellId="0" sqref="A1:I1"/>
    </sheetView>
  </sheetViews>
  <sheetFormatPr defaultColWidth="9" defaultRowHeight="13.5"/>
  <cols>
    <col customWidth="1" min="1" max="1" style="1" width="4.875"/>
    <col customWidth="1" min="2" max="2" style="2" width="10.883333333333301"/>
    <col customWidth="1" min="3" max="3" style="1" width="8.125"/>
    <col customWidth="1" min="4" max="4" style="1" width="5.2916666666666696"/>
    <col customWidth="1" min="5" max="6" style="1" width="7"/>
    <col customWidth="1" min="7" max="8" style="1" width="8.6750000000000007"/>
    <col customWidth="1" min="9" max="9" style="1" width="7.625"/>
    <col customWidth="1" min="10" max="10" style="1" width="8.7583333333333293"/>
    <col customWidth="1" min="11" max="17" style="1" width="7.625"/>
    <col customWidth="1" min="18" max="18" style="1" width="6.5"/>
    <col customWidth="1" min="19" max="19" style="1" width="8.56666666666667"/>
    <col customWidth="1" min="20" max="20" style="1" width="8.2083333333333304"/>
    <col customWidth="1" min="21" max="21" style="1" width="9.0999999999999996"/>
    <col customWidth="1" min="22" max="22" style="1" width="8.7583333333333293"/>
    <col customWidth="1" min="23" max="23" style="1" width="8.2583333333333293"/>
    <col customWidth="1" min="24" max="24" style="1" width="7.625"/>
    <col customWidth="1" min="25" max="26" style="1" width="7.6416666666666702"/>
    <col customWidth="1" min="27" max="29" style="3" width="7.125"/>
    <col customWidth="1" min="30" max="31" style="3" width="8.81666666666667"/>
    <col customWidth="1" min="32" max="34" style="3" width="7.6749999999999998"/>
    <col customWidth="1" min="35" max="35" style="3" width="10.4333333333333"/>
    <col customWidth="1" min="36" max="36" style="3" width="7.5"/>
    <col customWidth="1" min="37" max="37" style="3" width="6.4666666666666703"/>
    <col customWidth="1" min="38" max="39" style="3" width="7.7916666666666696"/>
    <col customWidth="1" min="40" max="40" style="3" width="7.05833333333333"/>
    <col customWidth="1" hidden="1" min="41" max="41" style="1" width="8.7583333333333293"/>
    <col customWidth="1" hidden="1" min="42" max="42" style="1" width="7.375"/>
    <col customWidth="1" min="43" max="43" style="4" width="9"/>
    <col customWidth="1" min="44" max="44" style="1" width="9.875"/>
    <col customWidth="1" min="45" max="45" style="5" width="12.625"/>
    <col customWidth="1" min="46" max="46" style="5" width="12.9333333333333"/>
    <col customWidth="1" min="47" max="53" style="5" width="9"/>
    <col min="54" max="75" style="5" width="9"/>
  </cols>
  <sheetData>
    <row r="1" ht="16" customHeight="1">
      <c r="A1" s="1" t="s">
        <v>0</v>
      </c>
      <c r="F1" s="6"/>
      <c r="G1" s="1"/>
      <c r="H1" s="1"/>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ht="21" customHeight="1">
      <c r="A2" s="7" t="s">
        <v>1</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8"/>
      <c r="AR2" s="7"/>
    </row>
    <row r="3" ht="21" customHeight="1">
      <c r="A3" s="3"/>
      <c r="B3" s="9"/>
      <c r="C3" s="3"/>
      <c r="D3" s="3"/>
      <c r="E3" s="3"/>
      <c r="F3" s="3"/>
      <c r="G3" s="3"/>
      <c r="H3" s="3"/>
      <c r="I3" s="6"/>
      <c r="J3" s="6"/>
      <c r="K3" s="6"/>
      <c r="L3" s="6"/>
      <c r="M3" s="6"/>
      <c r="N3" s="6"/>
      <c r="O3" s="6"/>
      <c r="P3" s="6"/>
      <c r="Q3" s="6"/>
      <c r="R3" s="6"/>
      <c r="S3" s="6"/>
      <c r="T3" s="6"/>
      <c r="U3" s="6"/>
      <c r="V3" s="6"/>
      <c r="W3" s="6"/>
      <c r="X3" s="6"/>
      <c r="Y3" s="6"/>
      <c r="Z3" s="6"/>
      <c r="AO3" s="6"/>
      <c r="AP3" s="6"/>
      <c r="AR3" s="6" t="s">
        <v>2</v>
      </c>
    </row>
    <row r="4" s="10" customFormat="1" ht="33" customHeight="1">
      <c r="A4" s="11" t="s">
        <v>3</v>
      </c>
      <c r="B4" s="11" t="s">
        <v>4</v>
      </c>
      <c r="C4" s="11" t="s">
        <v>5</v>
      </c>
      <c r="D4" s="11" t="s">
        <v>6</v>
      </c>
      <c r="E4" s="11" t="s">
        <v>7</v>
      </c>
      <c r="F4" s="11" t="s">
        <v>8</v>
      </c>
      <c r="G4" s="11" t="s">
        <v>9</v>
      </c>
      <c r="H4" s="12" t="s">
        <v>10</v>
      </c>
      <c r="I4" s="13" t="s">
        <v>11</v>
      </c>
      <c r="J4" s="13"/>
      <c r="K4" s="13"/>
      <c r="L4" s="13"/>
      <c r="M4" s="13"/>
      <c r="N4" s="13"/>
      <c r="O4" s="13"/>
      <c r="P4" s="13"/>
      <c r="Q4" s="13"/>
      <c r="R4" s="13"/>
      <c r="S4" s="13"/>
      <c r="T4" s="13"/>
      <c r="U4" s="13"/>
      <c r="V4" s="13"/>
      <c r="W4" s="13"/>
      <c r="X4" s="13" t="s">
        <v>12</v>
      </c>
      <c r="Y4" s="13"/>
      <c r="Z4" s="13"/>
      <c r="AA4" s="13" t="s">
        <v>13</v>
      </c>
      <c r="AB4" s="13"/>
      <c r="AC4" s="13"/>
      <c r="AD4" s="13"/>
      <c r="AE4" s="13"/>
      <c r="AF4" s="13"/>
      <c r="AG4" s="13"/>
      <c r="AH4" s="13"/>
      <c r="AI4" s="13"/>
      <c r="AJ4" s="14" t="s">
        <v>14</v>
      </c>
      <c r="AK4" s="14"/>
      <c r="AL4" s="14"/>
      <c r="AM4" s="14"/>
      <c r="AN4" s="14" t="s">
        <v>15</v>
      </c>
      <c r="AO4" s="15" t="s">
        <v>16</v>
      </c>
      <c r="AP4" s="15" t="s">
        <v>17</v>
      </c>
      <c r="AQ4" s="16" t="s">
        <v>18</v>
      </c>
      <c r="AR4" s="17" t="s">
        <v>19</v>
      </c>
    </row>
    <row r="5" s="10" customFormat="1" ht="30" customHeight="1">
      <c r="A5" s="18"/>
      <c r="B5" s="18"/>
      <c r="C5" s="18"/>
      <c r="D5" s="18"/>
      <c r="E5" s="18"/>
      <c r="F5" s="18"/>
      <c r="G5" s="18"/>
      <c r="H5" s="19"/>
      <c r="I5" s="14" t="s">
        <v>20</v>
      </c>
      <c r="J5" s="14"/>
      <c r="K5" s="14"/>
      <c r="L5" s="14"/>
      <c r="M5" s="14"/>
      <c r="N5" s="14"/>
      <c r="O5" s="14"/>
      <c r="P5" s="14" t="s">
        <v>21</v>
      </c>
      <c r="Q5" s="14" t="s">
        <v>22</v>
      </c>
      <c r="R5" s="14"/>
      <c r="S5" s="14"/>
      <c r="T5" s="14"/>
      <c r="U5" s="14"/>
      <c r="V5" s="14"/>
      <c r="W5" s="15" t="s">
        <v>23</v>
      </c>
      <c r="X5" s="13"/>
      <c r="Y5" s="13"/>
      <c r="Z5" s="13"/>
      <c r="AA5" s="13"/>
      <c r="AB5" s="13"/>
      <c r="AC5" s="13"/>
      <c r="AD5" s="13"/>
      <c r="AE5" s="13"/>
      <c r="AF5" s="13"/>
      <c r="AG5" s="13"/>
      <c r="AH5" s="13"/>
      <c r="AI5" s="13"/>
      <c r="AJ5" s="14"/>
      <c r="AK5" s="14"/>
      <c r="AL5" s="14"/>
      <c r="AM5" s="14"/>
      <c r="AN5" s="14"/>
      <c r="AO5" s="15"/>
      <c r="AP5" s="15"/>
      <c r="AQ5" s="16"/>
      <c r="AR5" s="17"/>
    </row>
    <row r="6" s="10" customFormat="1" ht="37" customHeight="1">
      <c r="A6" s="18"/>
      <c r="B6" s="18"/>
      <c r="C6" s="18"/>
      <c r="D6" s="18"/>
      <c r="E6" s="18"/>
      <c r="F6" s="18"/>
      <c r="G6" s="18"/>
      <c r="H6" s="19"/>
      <c r="I6" s="20" t="s">
        <v>24</v>
      </c>
      <c r="J6" s="20" t="s">
        <v>25</v>
      </c>
      <c r="K6" s="20"/>
      <c r="L6" s="20"/>
      <c r="M6" s="20"/>
      <c r="N6" s="20"/>
      <c r="O6" s="20"/>
      <c r="P6" s="14"/>
      <c r="Q6" s="20" t="s">
        <v>26</v>
      </c>
      <c r="R6" s="20" t="s">
        <v>27</v>
      </c>
      <c r="S6" s="20"/>
      <c r="T6" s="20"/>
      <c r="U6" s="20"/>
      <c r="V6" s="20"/>
      <c r="W6" s="15"/>
      <c r="X6" s="14" t="s">
        <v>28</v>
      </c>
      <c r="Y6" s="14" t="s">
        <v>29</v>
      </c>
      <c r="Z6" s="15" t="s">
        <v>23</v>
      </c>
      <c r="AA6" s="14" t="s">
        <v>30</v>
      </c>
      <c r="AB6" s="14"/>
      <c r="AC6" s="14"/>
      <c r="AD6" s="14" t="s">
        <v>31</v>
      </c>
      <c r="AE6" s="14"/>
      <c r="AF6" s="14"/>
      <c r="AG6" s="14" t="s">
        <v>32</v>
      </c>
      <c r="AH6" s="14"/>
      <c r="AI6" s="14" t="s">
        <v>33</v>
      </c>
      <c r="AJ6" s="14" t="s">
        <v>34</v>
      </c>
      <c r="AK6" s="14"/>
      <c r="AL6" s="14" t="s">
        <v>35</v>
      </c>
      <c r="AM6" s="14"/>
      <c r="AN6" s="14"/>
      <c r="AO6" s="15"/>
      <c r="AP6" s="15"/>
      <c r="AQ6" s="16"/>
      <c r="AR6" s="17"/>
    </row>
    <row r="7" s="10" customFormat="1" ht="77" customHeight="1">
      <c r="A7" s="21"/>
      <c r="B7" s="21"/>
      <c r="C7" s="21"/>
      <c r="D7" s="21"/>
      <c r="E7" s="21"/>
      <c r="F7" s="21"/>
      <c r="G7" s="21"/>
      <c r="H7" s="22"/>
      <c r="I7" s="20"/>
      <c r="J7" s="20" t="s">
        <v>36</v>
      </c>
      <c r="K7" s="20" t="s">
        <v>37</v>
      </c>
      <c r="L7" s="20" t="s">
        <v>38</v>
      </c>
      <c r="M7" s="20" t="s">
        <v>39</v>
      </c>
      <c r="N7" s="20" t="s">
        <v>40</v>
      </c>
      <c r="O7" s="20" t="s">
        <v>41</v>
      </c>
      <c r="P7" s="14"/>
      <c r="Q7" s="20"/>
      <c r="R7" s="20" t="s">
        <v>36</v>
      </c>
      <c r="S7" s="20" t="s">
        <v>42</v>
      </c>
      <c r="T7" s="14" t="s">
        <v>43</v>
      </c>
      <c r="U7" s="14" t="s">
        <v>44</v>
      </c>
      <c r="V7" s="14" t="s">
        <v>45</v>
      </c>
      <c r="W7" s="15"/>
      <c r="X7" s="23"/>
      <c r="Y7" s="23"/>
      <c r="Z7" s="24"/>
      <c r="AA7" s="25" t="s">
        <v>46</v>
      </c>
      <c r="AB7" s="25" t="s">
        <v>47</v>
      </c>
      <c r="AC7" s="26" t="s">
        <v>23</v>
      </c>
      <c r="AD7" s="14" t="s">
        <v>48</v>
      </c>
      <c r="AE7" s="15" t="s">
        <v>49</v>
      </c>
      <c r="AF7" s="15" t="s">
        <v>50</v>
      </c>
      <c r="AG7" s="14" t="s">
        <v>51</v>
      </c>
      <c r="AH7" s="26" t="s">
        <v>23</v>
      </c>
      <c r="AI7" s="15" t="s">
        <v>52</v>
      </c>
      <c r="AJ7" s="14" t="s">
        <v>53</v>
      </c>
      <c r="AK7" s="26" t="s">
        <v>23</v>
      </c>
      <c r="AL7" s="14" t="s">
        <v>54</v>
      </c>
      <c r="AM7" s="26" t="s">
        <v>23</v>
      </c>
      <c r="AN7" s="14"/>
      <c r="AO7" s="15"/>
      <c r="AP7" s="15"/>
      <c r="AQ7" s="16"/>
      <c r="AR7" s="17"/>
      <c r="AS7" s="27"/>
    </row>
    <row r="8" s="10" customFormat="1" ht="24" customHeight="1">
      <c r="A8" s="20"/>
      <c r="B8" s="20"/>
      <c r="C8" s="20"/>
      <c r="D8" s="20"/>
      <c r="E8" s="20"/>
      <c r="F8" s="20"/>
      <c r="G8" s="20">
        <v>1</v>
      </c>
      <c r="H8" s="28"/>
      <c r="I8" s="20">
        <v>2</v>
      </c>
      <c r="J8" s="20">
        <v>3</v>
      </c>
      <c r="K8" s="20">
        <v>4</v>
      </c>
      <c r="L8" s="20">
        <v>5</v>
      </c>
      <c r="M8" s="20">
        <v>6</v>
      </c>
      <c r="N8" s="20">
        <v>7</v>
      </c>
      <c r="O8" s="20">
        <v>8</v>
      </c>
      <c r="P8" s="20">
        <v>9</v>
      </c>
      <c r="Q8" s="20">
        <v>10</v>
      </c>
      <c r="R8" s="20">
        <v>11</v>
      </c>
      <c r="S8" s="20">
        <v>12</v>
      </c>
      <c r="T8" s="20">
        <v>13</v>
      </c>
      <c r="U8" s="20">
        <v>14</v>
      </c>
      <c r="V8" s="20">
        <v>15</v>
      </c>
      <c r="W8" s="20">
        <v>16</v>
      </c>
      <c r="X8" s="20">
        <v>17</v>
      </c>
      <c r="Y8" s="20">
        <v>18</v>
      </c>
      <c r="Z8" s="20">
        <v>19</v>
      </c>
      <c r="AA8" s="20">
        <v>20</v>
      </c>
      <c r="AB8" s="20"/>
      <c r="AC8" s="20">
        <v>21</v>
      </c>
      <c r="AD8" s="20">
        <v>22</v>
      </c>
      <c r="AE8" s="20">
        <v>23</v>
      </c>
      <c r="AF8" s="20">
        <v>24</v>
      </c>
      <c r="AG8" s="20"/>
      <c r="AH8" s="20"/>
      <c r="AI8" s="20">
        <v>25</v>
      </c>
      <c r="AJ8" s="20">
        <v>26</v>
      </c>
      <c r="AK8" s="20">
        <v>27</v>
      </c>
      <c r="AL8" s="20">
        <v>28</v>
      </c>
      <c r="AM8" s="20">
        <v>29</v>
      </c>
      <c r="AN8" s="20">
        <v>30</v>
      </c>
      <c r="AO8" s="20">
        <v>31</v>
      </c>
      <c r="AP8" s="20">
        <v>32</v>
      </c>
      <c r="AQ8" s="29">
        <v>33</v>
      </c>
      <c r="AR8" s="20">
        <v>34</v>
      </c>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row>
    <row r="9" s="30" customFormat="1" ht="17" customHeight="1">
      <c r="A9" s="31"/>
      <c r="B9" s="32" t="s">
        <v>55</v>
      </c>
      <c r="C9" s="33">
        <v>0</v>
      </c>
      <c r="D9" s="34"/>
      <c r="E9" s="34"/>
      <c r="F9" s="35"/>
      <c r="G9" s="36">
        <f t="shared" ref="G9:AI9" si="0">SUM(SUMIF($C:$C,"1",G:G))</f>
        <v>381298.76000000001</v>
      </c>
      <c r="H9" s="37">
        <f t="shared" si="0"/>
        <v>210000</v>
      </c>
      <c r="I9" s="37">
        <f t="shared" si="0"/>
        <v>6652993</v>
      </c>
      <c r="J9" s="38">
        <f t="shared" si="0"/>
        <v>4779587.2000000002</v>
      </c>
      <c r="K9" s="37">
        <f t="shared" si="0"/>
        <v>117751.60000000001</v>
      </c>
      <c r="L9" s="37">
        <f t="shared" si="0"/>
        <v>198328.79999999999</v>
      </c>
      <c r="M9" s="37">
        <f t="shared" si="0"/>
        <v>843038.40000000002</v>
      </c>
      <c r="N9" s="37">
        <f t="shared" si="0"/>
        <v>2171522.3999999999</v>
      </c>
      <c r="O9" s="37">
        <f t="shared" si="0"/>
        <v>1448946</v>
      </c>
      <c r="P9" s="37">
        <f t="shared" si="0"/>
        <v>832948</v>
      </c>
      <c r="Q9" s="37">
        <f t="shared" si="0"/>
        <v>996117</v>
      </c>
      <c r="R9" s="37">
        <f t="shared" si="0"/>
        <v>930735.59999999998</v>
      </c>
      <c r="S9" s="37">
        <f t="shared" si="0"/>
        <v>3038</v>
      </c>
      <c r="T9" s="37">
        <f t="shared" si="0"/>
        <v>37715.400000000001</v>
      </c>
      <c r="U9" s="37">
        <f t="shared" si="0"/>
        <v>142723.20000000001</v>
      </c>
      <c r="V9" s="37">
        <f t="shared" si="0"/>
        <v>747259</v>
      </c>
      <c r="W9" s="39">
        <f t="shared" si="0"/>
        <v>89826.899999999994</v>
      </c>
      <c r="X9" s="40">
        <f t="shared" si="0"/>
        <v>0</v>
      </c>
      <c r="Y9" s="41">
        <f t="shared" si="0"/>
        <v>18.056764427625399</v>
      </c>
      <c r="Z9" s="39">
        <f t="shared" si="0"/>
        <v>44913.449999999997</v>
      </c>
      <c r="AA9" s="40">
        <f t="shared" si="0"/>
        <v>374</v>
      </c>
      <c r="AB9" s="39">
        <f t="shared" si="0"/>
        <v>125155.32352941199</v>
      </c>
      <c r="AC9" s="37">
        <f t="shared" si="0"/>
        <v>125155.32352941199</v>
      </c>
      <c r="AD9" s="37">
        <f t="shared" si="0"/>
        <v>4018602.2000000002</v>
      </c>
      <c r="AE9" s="37" t="e">
        <f t="shared" si="0"/>
        <v>#REF!</v>
      </c>
      <c r="AF9" s="37">
        <f t="shared" si="0"/>
        <v>0</v>
      </c>
      <c r="AG9" s="37">
        <f t="shared" si="0"/>
        <v>623</v>
      </c>
      <c r="AH9" s="37">
        <f t="shared" si="0"/>
        <v>9347</v>
      </c>
      <c r="AI9" s="39">
        <f t="shared" si="0"/>
        <v>5000</v>
      </c>
      <c r="AJ9" s="41" t="e">
        <f>SUM(AJ21:AJ194)</f>
        <v>#REF!</v>
      </c>
      <c r="AK9" s="37" t="e">
        <f>SUM(SUMIF($C:$C,"1",AK:AK))</f>
        <v>#REF!</v>
      </c>
      <c r="AL9" s="37">
        <f>SUM(SUMIF($C:$C,"1",AL:AL))</f>
        <v>11268.25</v>
      </c>
      <c r="AM9" s="37">
        <f>SUM(SUMIF($C:$C,"1",AM:AM))</f>
        <v>7485.5749999999998</v>
      </c>
      <c r="AN9" s="40" t="e">
        <f>SUM(SUMIF($C:$C,"1",AN:AN))</f>
        <v>#REF!</v>
      </c>
      <c r="AO9" s="40" t="e">
        <f>SUM(SUMIF($C:$C,"1",AO:AO))</f>
        <v>#REF!</v>
      </c>
      <c r="AP9" s="42" t="e">
        <f t="shared" ref="AP9:AP72" si="1">AO9/G9</f>
        <v>#REF!</v>
      </c>
      <c r="AQ9" s="37" t="e">
        <f>SUM(SUMIF($C:$C,"1",AQ:AQ))</f>
        <v>#REF!</v>
      </c>
      <c r="AR9" s="43" t="e">
        <f t="shared" ref="AR9:AR72" si="2">AQ9/H9</f>
        <v>#REF!</v>
      </c>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row>
    <row r="10" ht="17" customHeight="1">
      <c r="A10" s="44"/>
      <c r="B10" s="45" t="s">
        <v>56</v>
      </c>
      <c r="C10" s="46">
        <v>1</v>
      </c>
      <c r="D10" s="46"/>
      <c r="E10" s="46"/>
      <c r="F10" s="47"/>
      <c r="G10" s="48"/>
      <c r="H10" s="49"/>
      <c r="I10" s="49"/>
      <c r="J10" s="50"/>
      <c r="K10" s="49"/>
      <c r="L10" s="49"/>
      <c r="M10" s="49"/>
      <c r="N10" s="49"/>
      <c r="O10" s="49"/>
      <c r="P10" s="49"/>
      <c r="Q10" s="49"/>
      <c r="R10" s="49"/>
      <c r="S10" s="49"/>
      <c r="T10" s="49"/>
      <c r="U10" s="49"/>
      <c r="V10" s="49"/>
      <c r="W10" s="48"/>
      <c r="X10" s="51"/>
      <c r="Y10" s="52"/>
      <c r="Z10" s="48"/>
      <c r="AA10" s="51"/>
      <c r="AB10" s="48"/>
      <c r="AC10" s="49"/>
      <c r="AD10" s="49"/>
      <c r="AE10" s="49"/>
      <c r="AF10" s="49"/>
      <c r="AG10" s="49"/>
      <c r="AH10" s="49"/>
      <c r="AI10" s="48"/>
      <c r="AJ10" s="52"/>
      <c r="AK10" s="49"/>
      <c r="AL10" s="49"/>
      <c r="AM10" s="49"/>
      <c r="AN10" s="53"/>
      <c r="AO10" s="53">
        <f t="shared" ref="AO10:AO17" si="3">AN10-G10</f>
        <v>0</v>
      </c>
      <c r="AP10" s="42"/>
      <c r="AQ10" s="49"/>
      <c r="AR10" s="43"/>
      <c r="AZ10" s="5" t="s">
        <v>57</v>
      </c>
      <c r="BA10" s="5">
        <v>0</v>
      </c>
    </row>
    <row r="11" s="54" customFormat="1" ht="17" customHeight="1">
      <c r="A11" s="55"/>
      <c r="B11" s="56" t="s">
        <v>58</v>
      </c>
      <c r="C11" s="57">
        <v>0</v>
      </c>
      <c r="D11" s="57"/>
      <c r="E11" s="57"/>
      <c r="F11" s="58"/>
      <c r="G11" s="36">
        <f t="shared" ref="G11:AI11" si="4">SUM(SUMIF($C:$C,"2",G:G))</f>
        <v>0</v>
      </c>
      <c r="H11" s="59">
        <f t="shared" si="4"/>
        <v>0</v>
      </c>
      <c r="I11" s="59">
        <f t="shared" si="4"/>
        <v>0</v>
      </c>
      <c r="J11" s="60">
        <f t="shared" si="4"/>
        <v>0</v>
      </c>
      <c r="K11" s="59">
        <f t="shared" si="4"/>
        <v>0</v>
      </c>
      <c r="L11" s="59">
        <f t="shared" si="4"/>
        <v>0</v>
      </c>
      <c r="M11" s="59">
        <f t="shared" si="4"/>
        <v>0</v>
      </c>
      <c r="N11" s="59">
        <f t="shared" si="4"/>
        <v>0</v>
      </c>
      <c r="O11" s="59">
        <f t="shared" si="4"/>
        <v>0</v>
      </c>
      <c r="P11" s="59">
        <f t="shared" si="4"/>
        <v>0</v>
      </c>
      <c r="Q11" s="59">
        <f t="shared" si="4"/>
        <v>0</v>
      </c>
      <c r="R11" s="59">
        <f t="shared" si="4"/>
        <v>0</v>
      </c>
      <c r="S11" s="59">
        <f t="shared" si="4"/>
        <v>0</v>
      </c>
      <c r="T11" s="59">
        <f t="shared" si="4"/>
        <v>0</v>
      </c>
      <c r="U11" s="59">
        <f t="shared" si="4"/>
        <v>0</v>
      </c>
      <c r="V11" s="59">
        <f t="shared" si="4"/>
        <v>0</v>
      </c>
      <c r="W11" s="61">
        <f t="shared" si="4"/>
        <v>0</v>
      </c>
      <c r="X11" s="53">
        <f t="shared" si="4"/>
        <v>0</v>
      </c>
      <c r="Y11" s="62">
        <f t="shared" si="4"/>
        <v>0</v>
      </c>
      <c r="Z11" s="61">
        <f t="shared" si="4"/>
        <v>0</v>
      </c>
      <c r="AA11" s="53">
        <f t="shared" si="4"/>
        <v>0</v>
      </c>
      <c r="AB11" s="61">
        <f t="shared" si="4"/>
        <v>0</v>
      </c>
      <c r="AC11" s="59">
        <f t="shared" si="4"/>
        <v>0</v>
      </c>
      <c r="AD11" s="59">
        <f t="shared" si="4"/>
        <v>0</v>
      </c>
      <c r="AE11" s="59">
        <f t="shared" si="4"/>
        <v>0</v>
      </c>
      <c r="AF11" s="59">
        <f t="shared" si="4"/>
        <v>0</v>
      </c>
      <c r="AG11" s="59">
        <f t="shared" si="4"/>
        <v>0</v>
      </c>
      <c r="AH11" s="59">
        <f t="shared" si="4"/>
        <v>0</v>
      </c>
      <c r="AI11" s="61">
        <f t="shared" si="4"/>
        <v>0</v>
      </c>
      <c r="AJ11" s="62"/>
      <c r="AK11" s="59" t="e">
        <f>SUM(SUMIF($C:$C,"2",AK:AK))</f>
        <v>#REF!</v>
      </c>
      <c r="AL11" s="59">
        <f>SUM(SUMIF($C:$C,"2",AL:AL))</f>
        <v>0</v>
      </c>
      <c r="AM11" s="59">
        <f>SUM(SUMIF($C:$C,"2",AM:AM))</f>
        <v>0</v>
      </c>
      <c r="AN11" s="53" t="e">
        <f>SUM(SUMIF($C:$C,"2",AN:AN))</f>
        <v>#REF!</v>
      </c>
      <c r="AO11" s="53" t="e">
        <f t="shared" si="3"/>
        <v>#REF!</v>
      </c>
      <c r="AP11" s="42" t="e">
        <f t="shared" si="1"/>
        <v>#REF!</v>
      </c>
      <c r="AQ11" s="59" t="e">
        <f>SUM(SUMIF($C:$C,"2",AQ:AQ))</f>
        <v>#REF!</v>
      </c>
      <c r="AR11" s="43"/>
      <c r="AS11" s="5"/>
      <c r="AT11" s="5"/>
      <c r="AU11" s="5"/>
      <c r="AV11" s="5"/>
      <c r="AW11" s="5"/>
      <c r="AX11" s="5"/>
      <c r="AY11" s="5"/>
      <c r="AZ11" s="5" t="s">
        <v>59</v>
      </c>
      <c r="BA11" s="5">
        <v>1161</v>
      </c>
      <c r="BB11" s="5"/>
      <c r="BC11" s="5"/>
      <c r="BD11" s="5"/>
      <c r="BE11" s="5"/>
      <c r="BF11" s="5"/>
      <c r="BG11" s="5"/>
      <c r="BH11" s="5"/>
      <c r="BI11" s="5"/>
      <c r="BJ11" s="5"/>
      <c r="BK11" s="5"/>
      <c r="BL11" s="5"/>
      <c r="BM11" s="5"/>
      <c r="BN11" s="5"/>
      <c r="BO11" s="5"/>
      <c r="BP11" s="5"/>
      <c r="BQ11" s="5"/>
      <c r="BR11" s="5"/>
      <c r="BS11" s="5"/>
      <c r="BT11" s="5"/>
      <c r="BU11" s="5"/>
      <c r="BV11" s="5"/>
      <c r="BW11" s="5"/>
    </row>
    <row r="12" s="5" customFormat="1" ht="17" customHeight="1">
      <c r="A12" s="44"/>
      <c r="B12" s="45" t="s">
        <v>60</v>
      </c>
      <c r="C12" s="46"/>
      <c r="D12" s="46"/>
      <c r="E12" s="46"/>
      <c r="F12" s="47"/>
      <c r="G12" s="36">
        <f t="shared" ref="G12:W12" si="5">SUM(SUMIF($C:$C,"贫困",G:G))+SUM(SUMIF($C:$C,"深度贫困",G:G))</f>
        <v>321414.76000000001</v>
      </c>
      <c r="H12" s="59">
        <f t="shared" si="5"/>
        <v>177018.93287038201</v>
      </c>
      <c r="I12" s="59">
        <f t="shared" si="5"/>
        <v>6064235</v>
      </c>
      <c r="J12" s="60">
        <f t="shared" si="5"/>
        <v>4661835.5999999996</v>
      </c>
      <c r="K12" s="59">
        <f t="shared" si="5"/>
        <v>0</v>
      </c>
      <c r="L12" s="59">
        <f t="shared" si="5"/>
        <v>198328.79999999999</v>
      </c>
      <c r="M12" s="59">
        <f t="shared" si="5"/>
        <v>843038.40000000002</v>
      </c>
      <c r="N12" s="59">
        <f t="shared" si="5"/>
        <v>2171522.3999999999</v>
      </c>
      <c r="O12" s="59">
        <f t="shared" si="5"/>
        <v>1448946</v>
      </c>
      <c r="P12" s="59">
        <f t="shared" si="5"/>
        <v>765492</v>
      </c>
      <c r="Q12" s="59">
        <f t="shared" si="5"/>
        <v>951493</v>
      </c>
      <c r="R12" s="59">
        <f t="shared" si="5"/>
        <v>900961.19999999995</v>
      </c>
      <c r="S12" s="59">
        <f t="shared" si="5"/>
        <v>894</v>
      </c>
      <c r="T12" s="59">
        <f t="shared" si="5"/>
        <v>26373</v>
      </c>
      <c r="U12" s="59">
        <f t="shared" si="5"/>
        <v>126435.2</v>
      </c>
      <c r="V12" s="59">
        <f t="shared" si="5"/>
        <v>747259</v>
      </c>
      <c r="W12" s="59">
        <f t="shared" si="5"/>
        <v>86660.198727453593</v>
      </c>
      <c r="X12" s="53"/>
      <c r="Y12" s="62">
        <f t="shared" ref="Y12:AI12" si="6">SUM(SUMIF($C:$C,"贫困",Y:Y))+SUM(SUMIF($C:$C,"深度贫困",Y:Y))</f>
        <v>18.056764427625399</v>
      </c>
      <c r="Z12" s="59">
        <f t="shared" si="6"/>
        <v>44913.449999999997</v>
      </c>
      <c r="AA12" s="53">
        <f t="shared" si="6"/>
        <v>324</v>
      </c>
      <c r="AB12" s="59">
        <f t="shared" si="6"/>
        <v>86624.911764705903</v>
      </c>
      <c r="AC12" s="59">
        <f t="shared" si="6"/>
        <v>86624.911764705801</v>
      </c>
      <c r="AD12" s="59">
        <f t="shared" si="6"/>
        <v>4018602.2000000002</v>
      </c>
      <c r="AE12" s="59" t="e">
        <f t="shared" si="6"/>
        <v>#REF!</v>
      </c>
      <c r="AF12" s="59">
        <f t="shared" si="6"/>
        <v>0</v>
      </c>
      <c r="AG12" s="59">
        <f t="shared" si="6"/>
        <v>365</v>
      </c>
      <c r="AH12" s="59">
        <f t="shared" si="6"/>
        <v>0</v>
      </c>
      <c r="AI12" s="59">
        <f t="shared" si="6"/>
        <v>4500</v>
      </c>
      <c r="AJ12" s="62"/>
      <c r="AK12" s="59" t="e">
        <f>SUM(SUMIF($C:$C,"贫困",AK:AK))+SUM(SUMIF($C:$C,"深度贫困",AK:AK))</f>
        <v>#REF!</v>
      </c>
      <c r="AL12" s="59">
        <f>SUM(SUMIF($C:$C,"贫困",AL:AL))+SUM(SUMIF($C:$C,"深度贫困",AL:AL))</f>
        <v>7969.3800000000001</v>
      </c>
      <c r="AM12" s="59">
        <f>SUM(SUMIF($C:$C,"贫困",AM:AM))+SUM(SUMIF($C:$C,"深度贫困",AM:AM))</f>
        <v>5294.1132556963103</v>
      </c>
      <c r="AN12" s="53" t="e">
        <f>SUM(SUMIF($C:$C,"贫困",AN:AN))+SUM(SUMIF($C:$C,"深度贫困",AN:AN))</f>
        <v>#REF!</v>
      </c>
      <c r="AO12" s="53" t="e">
        <f t="shared" si="3"/>
        <v>#REF!</v>
      </c>
      <c r="AP12" s="42" t="e">
        <f t="shared" si="1"/>
        <v>#REF!</v>
      </c>
      <c r="AQ12" s="59" t="e">
        <f>SUM(SUMIF($C:$C,"贫困",AQ:AQ))+SUM(SUMIF($C:$C,"深度贫困",AQ:AQ))</f>
        <v>#REF!</v>
      </c>
      <c r="AR12" s="43" t="e">
        <f t="shared" si="2"/>
        <v>#REF!</v>
      </c>
      <c r="AS12" s="5" t="e">
        <f>AN12/88</f>
        <v>#REF!</v>
      </c>
      <c r="AZ12" s="5" t="s">
        <v>61</v>
      </c>
      <c r="BA12" s="5">
        <v>0</v>
      </c>
    </row>
    <row r="13" ht="17" customHeight="1">
      <c r="A13" s="44"/>
      <c r="B13" s="45" t="s">
        <v>62</v>
      </c>
      <c r="C13" s="46"/>
      <c r="D13" s="46"/>
      <c r="E13" s="46"/>
      <c r="F13" s="47"/>
      <c r="G13" s="36">
        <f t="shared" ref="G13:W13" si="7">SUM(SUMIF($C:$C,"非贫困县",G:G))</f>
        <v>59884</v>
      </c>
      <c r="H13" s="59">
        <f t="shared" si="7"/>
        <v>32981.067129617702</v>
      </c>
      <c r="I13" s="59">
        <f t="shared" si="7"/>
        <v>588758</v>
      </c>
      <c r="J13" s="60">
        <f t="shared" si="7"/>
        <v>117751.60000000001</v>
      </c>
      <c r="K13" s="59">
        <f t="shared" si="7"/>
        <v>117751.60000000001</v>
      </c>
      <c r="L13" s="59">
        <f t="shared" si="7"/>
        <v>0</v>
      </c>
      <c r="M13" s="59">
        <f t="shared" si="7"/>
        <v>0</v>
      </c>
      <c r="N13" s="59">
        <f t="shared" si="7"/>
        <v>0</v>
      </c>
      <c r="O13" s="59">
        <f t="shared" si="7"/>
        <v>0</v>
      </c>
      <c r="P13" s="59">
        <f t="shared" si="7"/>
        <v>67456</v>
      </c>
      <c r="Q13" s="59">
        <f t="shared" si="7"/>
        <v>44624</v>
      </c>
      <c r="R13" s="59">
        <f t="shared" si="7"/>
        <v>29774.400000000001</v>
      </c>
      <c r="S13" s="59">
        <f t="shared" si="7"/>
        <v>2144</v>
      </c>
      <c r="T13" s="59">
        <f t="shared" si="7"/>
        <v>11342.4</v>
      </c>
      <c r="U13" s="59">
        <f t="shared" si="7"/>
        <v>16288</v>
      </c>
      <c r="V13" s="59">
        <f t="shared" si="7"/>
        <v>0</v>
      </c>
      <c r="W13" s="59">
        <f t="shared" si="7"/>
        <v>3166.7012725464501</v>
      </c>
      <c r="X13" s="53"/>
      <c r="Y13" s="62">
        <f t="shared" ref="Y13:AF13" si="8">SUM(SUMIF($C:$C,"非贫困县",Y:Y))</f>
        <v>0</v>
      </c>
      <c r="Z13" s="59">
        <f t="shared" si="8"/>
        <v>0</v>
      </c>
      <c r="AA13" s="53">
        <f t="shared" si="8"/>
        <v>50</v>
      </c>
      <c r="AB13" s="59">
        <f t="shared" si="8"/>
        <v>38530.411764705903</v>
      </c>
      <c r="AC13" s="59">
        <f t="shared" si="8"/>
        <v>38530.411764705903</v>
      </c>
      <c r="AD13" s="59">
        <f t="shared" si="8"/>
        <v>0</v>
      </c>
      <c r="AE13" s="59">
        <f t="shared" si="8"/>
        <v>0</v>
      </c>
      <c r="AF13" s="59">
        <f t="shared" si="8"/>
        <v>0</v>
      </c>
      <c r="AG13" s="59">
        <f>SUM(SUMIF($C:$C,"非贫困县",AG:AG))-AG22-AG23-AG24-AG25-AG26</f>
        <v>241</v>
      </c>
      <c r="AH13" s="59">
        <f>SUM(SUMIF($C:$C,"非贫困县",AH:AH))</f>
        <v>9347</v>
      </c>
      <c r="AI13" s="59">
        <f>SUM(SUMIF($C:$C,"非贫困县",AI:AI))</f>
        <v>500</v>
      </c>
      <c r="AJ13" s="62"/>
      <c r="AK13" s="59" t="e">
        <f>SUM(SUMIF($C:$C,"非贫困县",AK:AK))</f>
        <v>#REF!</v>
      </c>
      <c r="AL13" s="59">
        <f>SUM(SUMIF($C:$C,"非贫困县",AL:AL))</f>
        <v>3298.8699999999999</v>
      </c>
      <c r="AM13" s="59">
        <f>SUM(SUMIF($C:$C,"非贫困县",AM:AM))</f>
        <v>2191.46174430369</v>
      </c>
      <c r="AN13" s="53" t="e">
        <f>SUM(SUMIF($C:$C,"非贫困县",AN:AN))</f>
        <v>#REF!</v>
      </c>
      <c r="AO13" s="53" t="e">
        <f t="shared" si="3"/>
        <v>#REF!</v>
      </c>
      <c r="AP13" s="42" t="e">
        <f t="shared" si="1"/>
        <v>#REF!</v>
      </c>
      <c r="AQ13" s="59" t="e">
        <f>SUM(SUMIF($C:$C,"非贫困县",AQ:AQ))</f>
        <v>#REF!</v>
      </c>
      <c r="AR13" s="43" t="e">
        <f t="shared" si="2"/>
        <v>#REF!</v>
      </c>
      <c r="AS13" s="5" t="e">
        <f>AN13/41</f>
        <v>#REF!</v>
      </c>
      <c r="AZ13" s="5" t="s">
        <v>63</v>
      </c>
      <c r="BA13" s="5">
        <v>0</v>
      </c>
    </row>
    <row r="14" s="5" customFormat="1" ht="17" customHeight="1">
      <c r="A14" s="44"/>
      <c r="B14" s="45" t="s">
        <v>64</v>
      </c>
      <c r="C14" s="46"/>
      <c r="D14" s="46"/>
      <c r="E14" s="46"/>
      <c r="F14" s="47"/>
      <c r="G14" s="36">
        <f t="shared" ref="G14:AI14" si="9">SUM(SUMIF($E:$E,"国家",G:G))+SUM(SUMIF($E:$E,"省级",G:G))</f>
        <v>281113.76000000001</v>
      </c>
      <c r="H14" s="59">
        <f t="shared" si="9"/>
        <v>154823.18799043601</v>
      </c>
      <c r="I14" s="59">
        <f t="shared" si="9"/>
        <v>4934288</v>
      </c>
      <c r="J14" s="60">
        <f t="shared" si="9"/>
        <v>4018602.2000000002</v>
      </c>
      <c r="K14" s="59">
        <f t="shared" si="9"/>
        <v>0</v>
      </c>
      <c r="L14" s="59">
        <f t="shared" si="9"/>
        <v>71812.399999999994</v>
      </c>
      <c r="M14" s="59">
        <f t="shared" si="9"/>
        <v>440415</v>
      </c>
      <c r="N14" s="59">
        <f t="shared" si="9"/>
        <v>2057428.8</v>
      </c>
      <c r="O14" s="59">
        <f t="shared" si="9"/>
        <v>1448946</v>
      </c>
      <c r="P14" s="59">
        <f t="shared" si="9"/>
        <v>621151</v>
      </c>
      <c r="Q14" s="59">
        <f t="shared" si="9"/>
        <v>802791</v>
      </c>
      <c r="R14" s="59">
        <f t="shared" si="9"/>
        <v>773026.59999999998</v>
      </c>
      <c r="S14" s="59">
        <f t="shared" si="9"/>
        <v>351.19999999999999</v>
      </c>
      <c r="T14" s="59">
        <f t="shared" si="9"/>
        <v>12136.799999999999</v>
      </c>
      <c r="U14" s="59">
        <f t="shared" si="9"/>
        <v>84585.600000000006</v>
      </c>
      <c r="V14" s="59">
        <f t="shared" si="9"/>
        <v>675953</v>
      </c>
      <c r="W14" s="59">
        <f t="shared" si="9"/>
        <v>73948.767028037299</v>
      </c>
      <c r="X14" s="53">
        <f t="shared" si="9"/>
        <v>644702</v>
      </c>
      <c r="Y14" s="62">
        <f t="shared" si="9"/>
        <v>17.3044465468307</v>
      </c>
      <c r="Z14" s="59">
        <f t="shared" si="9"/>
        <v>43042.173910719903</v>
      </c>
      <c r="AA14" s="53">
        <f t="shared" si="9"/>
        <v>251</v>
      </c>
      <c r="AB14" s="59">
        <f t="shared" si="9"/>
        <v>36088.911764705903</v>
      </c>
      <c r="AC14" s="59">
        <f t="shared" si="9"/>
        <v>36088.911764705801</v>
      </c>
      <c r="AD14" s="59">
        <f t="shared" si="9"/>
        <v>4018602.2000000002</v>
      </c>
      <c r="AE14" s="59" t="e">
        <f t="shared" si="9"/>
        <v>#REF!</v>
      </c>
      <c r="AF14" s="59">
        <f t="shared" si="9"/>
        <v>0</v>
      </c>
      <c r="AG14" s="59">
        <f t="shared" si="9"/>
        <v>227</v>
      </c>
      <c r="AH14" s="59">
        <f t="shared" si="9"/>
        <v>0</v>
      </c>
      <c r="AI14" s="59">
        <f t="shared" si="9"/>
        <v>2000</v>
      </c>
      <c r="AJ14" s="62"/>
      <c r="AK14" s="59" t="e">
        <f>SUM(SUMIF($E:$E,"国家",AK:AK))+SUM(SUMIF($E:$E,"省级",AK:AK))</f>
        <v>#REF!</v>
      </c>
      <c r="AL14" s="59">
        <f>SUM(SUMIF($E:$E,"国家",AL:AL))+SUM(SUMIF($E:$E,"省级",AL:AL))</f>
        <v>5129.96</v>
      </c>
      <c r="AM14" s="59">
        <f>SUM(SUMIF($E:$E,"国家",AM:AM))+SUM(SUMIF($E:$E,"省级",AM:AM))</f>
        <v>3407.8672666119401</v>
      </c>
      <c r="AN14" s="53" t="e">
        <f>SUM(SUMIF($E:$E,"国家",AN:AN))+SUM(SUMIF($E:$E,"省级",AN:AN))</f>
        <v>#REF!</v>
      </c>
      <c r="AO14" s="53" t="e">
        <f t="shared" si="3"/>
        <v>#REF!</v>
      </c>
      <c r="AP14" s="42" t="e">
        <f t="shared" si="1"/>
        <v>#REF!</v>
      </c>
      <c r="AQ14" s="59" t="e">
        <f>SUM(SUMIF($E:$E,"国家",AQ:AQ))+SUM(SUMIF($E:$E,"省级",AQ:AQ))</f>
        <v>#REF!</v>
      </c>
      <c r="AR14" s="43" t="e">
        <f t="shared" si="2"/>
        <v>#REF!</v>
      </c>
      <c r="AS14" s="63"/>
      <c r="AZ14" s="5" t="s">
        <v>65</v>
      </c>
      <c r="BA14" s="5">
        <v>6714.4300000000003</v>
      </c>
    </row>
    <row r="15" s="5" customFormat="1" ht="17" customHeight="1">
      <c r="A15" s="44"/>
      <c r="B15" s="45" t="s">
        <v>66</v>
      </c>
      <c r="C15" s="46"/>
      <c r="D15" s="46"/>
      <c r="E15" s="46"/>
      <c r="F15" s="47"/>
      <c r="G15" s="36">
        <f t="shared" ref="G15:AI15" si="10">SUM(SUMIF($E:$E,"国家",G:G))</f>
        <v>211045.76000000001</v>
      </c>
      <c r="H15" s="59">
        <f t="shared" si="10"/>
        <v>116233.290661632</v>
      </c>
      <c r="I15" s="59">
        <f t="shared" si="10"/>
        <v>3329899</v>
      </c>
      <c r="J15" s="60">
        <f t="shared" si="10"/>
        <v>2915211.2000000002</v>
      </c>
      <c r="K15" s="59">
        <f t="shared" si="10"/>
        <v>0</v>
      </c>
      <c r="L15" s="59">
        <f t="shared" si="10"/>
        <v>0</v>
      </c>
      <c r="M15" s="59">
        <f t="shared" si="10"/>
        <v>73326.600000000006</v>
      </c>
      <c r="N15" s="59">
        <f t="shared" si="10"/>
        <v>1463213.6000000001</v>
      </c>
      <c r="O15" s="59">
        <f t="shared" si="10"/>
        <v>1378671</v>
      </c>
      <c r="P15" s="59">
        <f t="shared" si="10"/>
        <v>449822</v>
      </c>
      <c r="Q15" s="59">
        <f t="shared" si="10"/>
        <v>648468</v>
      </c>
      <c r="R15" s="59">
        <f t="shared" si="10"/>
        <v>640225.80000000005</v>
      </c>
      <c r="S15" s="59">
        <f t="shared" si="10"/>
        <v>0</v>
      </c>
      <c r="T15" s="59">
        <f t="shared" si="10"/>
        <v>1392.5999999999999</v>
      </c>
      <c r="U15" s="59">
        <f t="shared" si="10"/>
        <v>29255.200000000001</v>
      </c>
      <c r="V15" s="59">
        <f t="shared" si="10"/>
        <v>609578</v>
      </c>
      <c r="W15" s="59">
        <f t="shared" si="10"/>
        <v>54908.561650327501</v>
      </c>
      <c r="X15" s="53">
        <f t="shared" si="10"/>
        <v>286175</v>
      </c>
      <c r="Y15" s="62">
        <f t="shared" si="10"/>
        <v>11.7614001892148</v>
      </c>
      <c r="Z15" s="59">
        <f t="shared" si="10"/>
        <v>29254.6907529079</v>
      </c>
      <c r="AA15" s="53">
        <f t="shared" si="10"/>
        <v>133</v>
      </c>
      <c r="AB15" s="59">
        <f t="shared" si="10"/>
        <v>1235.9117647058799</v>
      </c>
      <c r="AC15" s="59">
        <f t="shared" si="10"/>
        <v>1235.9117647058799</v>
      </c>
      <c r="AD15" s="59">
        <f t="shared" si="10"/>
        <v>2915211.2000000002</v>
      </c>
      <c r="AE15" s="59" t="e">
        <f t="shared" si="10"/>
        <v>#REF!</v>
      </c>
      <c r="AF15" s="59">
        <f t="shared" si="10"/>
        <v>0</v>
      </c>
      <c r="AG15" s="59">
        <f t="shared" si="10"/>
        <v>116</v>
      </c>
      <c r="AH15" s="59">
        <f t="shared" si="10"/>
        <v>0</v>
      </c>
      <c r="AI15" s="59">
        <f t="shared" si="10"/>
        <v>1000</v>
      </c>
      <c r="AJ15" s="62"/>
      <c r="AK15" s="59" t="e">
        <f>SUM(SUMIF($E:$E,"国家",AK:AK))</f>
        <v>#REF!</v>
      </c>
      <c r="AL15" s="59">
        <f>SUM(SUMIF($E:$E,"国家",AL:AL))</f>
        <v>2400.46</v>
      </c>
      <c r="AM15" s="59">
        <f>SUM(SUMIF($E:$E,"国家",AM:AM))</f>
        <v>1594.6418800168599</v>
      </c>
      <c r="AN15" s="53" t="e">
        <f>SUM(SUMIF($E:$E,"国家",AN:AN))</f>
        <v>#REF!</v>
      </c>
      <c r="AO15" s="53" t="e">
        <f t="shared" si="3"/>
        <v>#REF!</v>
      </c>
      <c r="AP15" s="42" t="e">
        <f t="shared" si="1"/>
        <v>#REF!</v>
      </c>
      <c r="AQ15" s="59" t="e">
        <f>SUM(SUMIF($E:$E,"国家",AQ:AQ))</f>
        <v>#REF!</v>
      </c>
      <c r="AR15" s="43" t="e">
        <f t="shared" si="2"/>
        <v>#REF!</v>
      </c>
      <c r="AS15" s="63"/>
      <c r="AZ15" s="5" t="s">
        <v>67</v>
      </c>
      <c r="BA15" s="5">
        <v>0</v>
      </c>
    </row>
    <row r="16" s="5" customFormat="1" ht="17" customHeight="1">
      <c r="A16" s="44"/>
      <c r="B16" s="45" t="s">
        <v>68</v>
      </c>
      <c r="C16" s="46"/>
      <c r="D16" s="46"/>
      <c r="E16" s="46"/>
      <c r="F16" s="47"/>
      <c r="G16" s="36">
        <f t="shared" ref="G16:AI16" si="11">SUM(SUMIF($E:$E,"省级",G:G))</f>
        <v>70068</v>
      </c>
      <c r="H16" s="59">
        <f t="shared" si="11"/>
        <v>38589.897328803301</v>
      </c>
      <c r="I16" s="59">
        <f t="shared" si="11"/>
        <v>1604389</v>
      </c>
      <c r="J16" s="60">
        <f t="shared" si="11"/>
        <v>1103391</v>
      </c>
      <c r="K16" s="59">
        <f t="shared" si="11"/>
        <v>0</v>
      </c>
      <c r="L16" s="59">
        <f t="shared" si="11"/>
        <v>71812.399999999994</v>
      </c>
      <c r="M16" s="59">
        <f t="shared" si="11"/>
        <v>367088.40000000002</v>
      </c>
      <c r="N16" s="59">
        <f t="shared" si="11"/>
        <v>594215.19999999995</v>
      </c>
      <c r="O16" s="59">
        <f t="shared" si="11"/>
        <v>70275</v>
      </c>
      <c r="P16" s="59">
        <f t="shared" si="11"/>
        <v>171329</v>
      </c>
      <c r="Q16" s="59">
        <f t="shared" si="11"/>
        <v>154323</v>
      </c>
      <c r="R16" s="59">
        <f t="shared" si="11"/>
        <v>132800.79999999999</v>
      </c>
      <c r="S16" s="59">
        <f t="shared" si="11"/>
        <v>351.19999999999999</v>
      </c>
      <c r="T16" s="59">
        <f t="shared" si="11"/>
        <v>10744.200000000001</v>
      </c>
      <c r="U16" s="59">
        <f t="shared" si="11"/>
        <v>55330.400000000001</v>
      </c>
      <c r="V16" s="59">
        <f t="shared" si="11"/>
        <v>66375</v>
      </c>
      <c r="W16" s="59">
        <f t="shared" si="11"/>
        <v>19040.205377709801</v>
      </c>
      <c r="X16" s="53">
        <f t="shared" si="11"/>
        <v>358527</v>
      </c>
      <c r="Y16" s="62">
        <f t="shared" si="11"/>
        <v>5.5430463576158902</v>
      </c>
      <c r="Z16" s="59">
        <f t="shared" si="11"/>
        <v>13787.483157811999</v>
      </c>
      <c r="AA16" s="53">
        <f t="shared" si="11"/>
        <v>118</v>
      </c>
      <c r="AB16" s="59">
        <f t="shared" si="11"/>
        <v>34853</v>
      </c>
      <c r="AC16" s="59">
        <f t="shared" si="11"/>
        <v>34852.999999999898</v>
      </c>
      <c r="AD16" s="59">
        <f t="shared" si="11"/>
        <v>1103391</v>
      </c>
      <c r="AE16" s="59" t="e">
        <f t="shared" si="11"/>
        <v>#REF!</v>
      </c>
      <c r="AF16" s="59">
        <f t="shared" si="11"/>
        <v>0</v>
      </c>
      <c r="AG16" s="59">
        <f t="shared" si="11"/>
        <v>111</v>
      </c>
      <c r="AH16" s="59">
        <f t="shared" si="11"/>
        <v>0</v>
      </c>
      <c r="AI16" s="59">
        <f t="shared" si="11"/>
        <v>1000</v>
      </c>
      <c r="AJ16" s="62"/>
      <c r="AK16" s="59" t="e">
        <f>SUM(SUMIF($E:$E,"省级",AK:AK))</f>
        <v>#REF!</v>
      </c>
      <c r="AL16" s="59">
        <f>SUM(SUMIF($E:$E,"省级",AL:AL))</f>
        <v>2729.5</v>
      </c>
      <c r="AM16" s="59">
        <f>SUM(SUMIF($E:$E,"省级",AM:AM))</f>
        <v>1813.22538659508</v>
      </c>
      <c r="AN16" s="53" t="e">
        <f>SUM(SUMIF($E:$E,"省级",AN:AN))</f>
        <v>#REF!</v>
      </c>
      <c r="AO16" s="53" t="e">
        <f t="shared" si="3"/>
        <v>#REF!</v>
      </c>
      <c r="AP16" s="42" t="e">
        <f t="shared" si="1"/>
        <v>#REF!</v>
      </c>
      <c r="AQ16" s="59" t="e">
        <f>SUM(SUMIF($E:$E,"省级",AQ:AQ))</f>
        <v>#REF!</v>
      </c>
      <c r="AR16" s="43" t="e">
        <f t="shared" si="2"/>
        <v>#REF!</v>
      </c>
      <c r="AZ16" s="5" t="s">
        <v>69</v>
      </c>
      <c r="BA16" s="5">
        <v>10</v>
      </c>
    </row>
    <row r="17" s="5" customFormat="1" ht="17" customHeight="1">
      <c r="A17" s="44"/>
      <c r="B17" s="45" t="s">
        <v>70</v>
      </c>
      <c r="C17" s="46"/>
      <c r="D17" s="46"/>
      <c r="E17" s="46"/>
      <c r="F17" s="47"/>
      <c r="G17" s="36">
        <f>SUM(SUMIF($F:$F,"是",G:G))</f>
        <v>93795</v>
      </c>
      <c r="H17" s="59">
        <f>SUM(SUMIF($F:$F,"是",H:H))</f>
        <v>51657.524404223099</v>
      </c>
      <c r="I17" s="59">
        <f t="shared" ref="I17:AI17" si="12">SUM(SUMIF($F:$F,"是",I:I))</f>
        <v>1247069</v>
      </c>
      <c r="J17" s="60">
        <f t="shared" si="12"/>
        <v>927342.59999999998</v>
      </c>
      <c r="K17" s="59">
        <f t="shared" si="12"/>
        <v>17309.599999999999</v>
      </c>
      <c r="L17" s="59">
        <f t="shared" si="12"/>
        <v>19292.799999999999</v>
      </c>
      <c r="M17" s="59">
        <f t="shared" si="12"/>
        <v>189571.79999999999</v>
      </c>
      <c r="N17" s="59">
        <f t="shared" si="12"/>
        <v>380670.40000000002</v>
      </c>
      <c r="O17" s="59">
        <f t="shared" si="12"/>
        <v>320498</v>
      </c>
      <c r="P17" s="59">
        <f t="shared" si="12"/>
        <v>164491</v>
      </c>
      <c r="Q17" s="59">
        <f t="shared" si="12"/>
        <v>162681</v>
      </c>
      <c r="R17" s="59">
        <f t="shared" si="12"/>
        <v>149996.79999999999</v>
      </c>
      <c r="S17" s="59">
        <f t="shared" si="12"/>
        <v>684.79999999999995</v>
      </c>
      <c r="T17" s="59">
        <f t="shared" si="12"/>
        <v>1669.2</v>
      </c>
      <c r="U17" s="59">
        <f t="shared" si="12"/>
        <v>42176.800000000003</v>
      </c>
      <c r="V17" s="59">
        <f t="shared" si="12"/>
        <v>105466</v>
      </c>
      <c r="W17" s="59">
        <f t="shared" si="12"/>
        <v>16988.151052971702</v>
      </c>
      <c r="X17" s="53">
        <f t="shared" si="12"/>
        <v>303154</v>
      </c>
      <c r="Y17" s="62">
        <f t="shared" si="12"/>
        <v>5.4987701040681198</v>
      </c>
      <c r="Z17" s="59">
        <f t="shared" si="12"/>
        <v>13677.3527239862</v>
      </c>
      <c r="AA17" s="53">
        <f t="shared" si="12"/>
        <v>374</v>
      </c>
      <c r="AB17" s="59">
        <f t="shared" si="12"/>
        <v>125155.32352941199</v>
      </c>
      <c r="AC17" s="59">
        <f t="shared" si="12"/>
        <v>125155.32352941199</v>
      </c>
      <c r="AD17" s="53">
        <f t="shared" si="12"/>
        <v>800095.80000000005</v>
      </c>
      <c r="AE17" s="62" t="e">
        <f t="shared" si="12"/>
        <v>#REF!</v>
      </c>
      <c r="AF17" s="59">
        <f t="shared" si="12"/>
        <v>0</v>
      </c>
      <c r="AG17" s="59">
        <f t="shared" si="12"/>
        <v>0</v>
      </c>
      <c r="AH17" s="59">
        <f t="shared" si="12"/>
        <v>0</v>
      </c>
      <c r="AI17" s="59">
        <f t="shared" si="12"/>
        <v>2000</v>
      </c>
      <c r="AJ17" s="62"/>
      <c r="AK17" s="59" t="e">
        <f t="shared" ref="AK17:AN17" si="13">SUM(SUMIF($F:$F,"是",AK:AK))</f>
        <v>#REF!</v>
      </c>
      <c r="AL17" s="53">
        <f t="shared" si="13"/>
        <v>2277.8699999999999</v>
      </c>
      <c r="AM17" s="59">
        <f t="shared" si="13"/>
        <v>1513.2045104829899</v>
      </c>
      <c r="AN17" s="53" t="e">
        <f t="shared" si="13"/>
        <v>#REF!</v>
      </c>
      <c r="AO17" s="53" t="e">
        <f t="shared" si="3"/>
        <v>#REF!</v>
      </c>
      <c r="AP17" s="42" t="e">
        <f t="shared" si="1"/>
        <v>#REF!</v>
      </c>
      <c r="AQ17" s="59" t="e">
        <f>SUM(SUMIF($F:$F,"是",AQ:AQ))</f>
        <v>#REF!</v>
      </c>
      <c r="AR17" s="43" t="e">
        <f t="shared" si="2"/>
        <v>#REF!</v>
      </c>
      <c r="AS17" s="5" t="e">
        <f>AN17/25</f>
        <v>#REF!</v>
      </c>
      <c r="AT17" s="5" t="e">
        <f>(AN9-AN17)/104</f>
        <v>#REF!</v>
      </c>
      <c r="AZ17" s="5" t="s">
        <v>71</v>
      </c>
      <c r="BA17" s="5">
        <v>256</v>
      </c>
    </row>
    <row r="18" s="64" customFormat="1" ht="17" customHeight="1">
      <c r="A18" s="65"/>
      <c r="B18" s="66" t="s">
        <v>72</v>
      </c>
      <c r="C18" s="67">
        <v>1</v>
      </c>
      <c r="D18" s="67"/>
      <c r="E18" s="67"/>
      <c r="F18" s="68"/>
      <c r="G18" s="69">
        <f t="shared" ref="G18:I18" si="14">G19+G20</f>
        <v>11966.43</v>
      </c>
      <c r="H18" s="69">
        <f t="shared" si="14"/>
        <v>6590.5021563668297</v>
      </c>
      <c r="I18" s="69">
        <f t="shared" si="14"/>
        <v>314463</v>
      </c>
      <c r="J18" s="69">
        <f t="shared" ref="I18:O18" si="15">J19+J20</f>
        <v>157295.20000000001</v>
      </c>
      <c r="K18" s="69">
        <f t="shared" si="15"/>
        <v>3450.8000000000002</v>
      </c>
      <c r="L18" s="69">
        <f t="shared" si="15"/>
        <v>48962</v>
      </c>
      <c r="M18" s="69">
        <f t="shared" si="15"/>
        <v>104882.39999999999</v>
      </c>
      <c r="N18" s="69">
        <f t="shared" si="15"/>
        <v>0</v>
      </c>
      <c r="O18" s="69">
        <f t="shared" si="15"/>
        <v>0</v>
      </c>
      <c r="P18" s="69">
        <v>25920</v>
      </c>
      <c r="Q18" s="69">
        <f t="shared" ref="Q18:W18" si="16">Q19+Q20</f>
        <v>23091</v>
      </c>
      <c r="R18" s="69">
        <f t="shared" si="16"/>
        <v>21038.400000000001</v>
      </c>
      <c r="S18" s="69">
        <f t="shared" si="16"/>
        <v>122</v>
      </c>
      <c r="T18" s="69">
        <f t="shared" si="16"/>
        <v>2804.4000000000001</v>
      </c>
      <c r="U18" s="69">
        <f t="shared" si="16"/>
        <v>0</v>
      </c>
      <c r="V18" s="69">
        <f t="shared" si="16"/>
        <v>18112</v>
      </c>
      <c r="W18" s="69">
        <f t="shared" si="16"/>
        <v>2775.0762625869402</v>
      </c>
      <c r="X18" s="70"/>
      <c r="Y18" s="71">
        <f t="shared" ref="Y18:AI18" si="17">Y19+Y20</f>
        <v>1.30236518448439</v>
      </c>
      <c r="Z18" s="69">
        <f t="shared" si="17"/>
        <v>3239.4349402703601</v>
      </c>
      <c r="AA18" s="70">
        <v>0</v>
      </c>
      <c r="AB18" s="69">
        <f t="shared" si="17"/>
        <v>0</v>
      </c>
      <c r="AC18" s="69">
        <f t="shared" si="17"/>
        <v>0</v>
      </c>
      <c r="AD18" s="70">
        <f t="shared" si="17"/>
        <v>153844.39999999999</v>
      </c>
      <c r="AE18" s="69" t="e">
        <f t="shared" si="17"/>
        <v>#REF!</v>
      </c>
      <c r="AF18" s="69">
        <f t="shared" si="17"/>
        <v>0</v>
      </c>
      <c r="AG18" s="69">
        <f t="shared" si="17"/>
        <v>78</v>
      </c>
      <c r="AH18" s="69">
        <f t="shared" si="17"/>
        <v>1590.15352697095</v>
      </c>
      <c r="AI18" s="69">
        <f t="shared" si="17"/>
        <v>0</v>
      </c>
      <c r="AJ18" s="71"/>
      <c r="AK18" s="69" t="e">
        <f t="shared" ref="AK18:AO18" si="18">AK19+AK20</f>
        <v>#REF!</v>
      </c>
      <c r="AL18" s="70">
        <f t="shared" si="18"/>
        <v>783.63</v>
      </c>
      <c r="AM18" s="69">
        <f t="shared" si="18"/>
        <v>520.57073079226996</v>
      </c>
      <c r="AN18" s="70" t="e">
        <f t="shared" si="18"/>
        <v>#REF!</v>
      </c>
      <c r="AO18" s="70" t="e">
        <f t="shared" si="18"/>
        <v>#REF!</v>
      </c>
      <c r="AP18" s="42" t="e">
        <f t="shared" si="1"/>
        <v>#REF!</v>
      </c>
      <c r="AQ18" s="71" t="e">
        <f>AQ19+AQ20</f>
        <v>#REF!</v>
      </c>
      <c r="AR18" s="43" t="e">
        <f t="shared" si="2"/>
        <v>#REF!</v>
      </c>
      <c r="AS18" s="5"/>
      <c r="AT18" s="5"/>
      <c r="AU18" s="5"/>
      <c r="AV18" s="5"/>
      <c r="AW18" s="5"/>
      <c r="AX18" s="5"/>
      <c r="AY18" s="5"/>
      <c r="AZ18" s="5" t="s">
        <v>73</v>
      </c>
      <c r="BA18" s="5">
        <v>176</v>
      </c>
      <c r="BB18" s="5"/>
      <c r="BC18" s="5"/>
      <c r="BD18" s="5"/>
      <c r="BE18" s="5"/>
      <c r="BF18" s="5"/>
      <c r="BG18" s="5"/>
      <c r="BH18" s="5"/>
      <c r="BI18" s="5"/>
      <c r="BJ18" s="5"/>
      <c r="BK18" s="5"/>
      <c r="BL18" s="5"/>
      <c r="BM18" s="5"/>
      <c r="BN18" s="5"/>
      <c r="BO18" s="5"/>
      <c r="BP18" s="5"/>
      <c r="BQ18" s="5"/>
      <c r="BR18" s="5"/>
      <c r="BS18" s="5"/>
      <c r="BT18" s="5"/>
      <c r="BU18" s="5"/>
      <c r="BV18" s="5"/>
      <c r="BW18" s="5"/>
    </row>
    <row r="19" ht="17" customHeight="1">
      <c r="A19" s="44"/>
      <c r="B19" s="72" t="s">
        <v>74</v>
      </c>
      <c r="C19" s="46">
        <v>2</v>
      </c>
      <c r="D19" s="46"/>
      <c r="E19" s="46"/>
      <c r="F19" s="47"/>
      <c r="G19" s="73"/>
      <c r="H19" s="73"/>
      <c r="I19" s="73"/>
      <c r="J19" s="59"/>
      <c r="K19" s="59"/>
      <c r="L19" s="59"/>
      <c r="M19" s="59"/>
      <c r="N19" s="59"/>
      <c r="O19" s="59"/>
      <c r="P19" s="59"/>
      <c r="Q19" s="59"/>
      <c r="R19" s="59">
        <f>N19*0.4+O19*0.6+P19*0.8+Q19*1</f>
        <v>0</v>
      </c>
      <c r="S19" s="59">
        <f>Q19-T19-U19-V19</f>
        <v>0</v>
      </c>
      <c r="T19" s="59"/>
      <c r="U19" s="59"/>
      <c r="V19" s="59"/>
      <c r="W19" s="59"/>
      <c r="X19" s="53"/>
      <c r="Y19" s="62"/>
      <c r="Z19" s="59"/>
      <c r="AA19" s="53"/>
      <c r="AB19" s="59"/>
      <c r="AC19" s="59"/>
      <c r="AD19" s="53"/>
      <c r="AE19" s="59"/>
      <c r="AF19" s="59"/>
      <c r="AG19" s="59"/>
      <c r="AH19" s="59"/>
      <c r="AI19" s="59"/>
      <c r="AJ19" s="62"/>
      <c r="AK19" s="59" t="e">
        <f>AJ19/$AJ$9*0.05*200000</f>
        <v>#REF!</v>
      </c>
      <c r="AL19" s="53"/>
      <c r="AM19" s="59">
        <f>(AL19/$AL$9)*0.05*200000</f>
        <v>0</v>
      </c>
      <c r="AN19" s="53" t="e">
        <f>ROUND(AM19+AK19+AE19+AC19+Z19+W19,0)</f>
        <v>#REF!</v>
      </c>
      <c r="AO19" s="53" t="e">
        <f t="shared" ref="AO19:AO34" si="19">AN19-G19</f>
        <v>#REF!</v>
      </c>
      <c r="AP19" s="42" t="e">
        <f t="shared" si="1"/>
        <v>#REF!</v>
      </c>
      <c r="AQ19" s="62" t="e">
        <f t="shared" ref="AQ19:AQ34" si="20">AN19-H19</f>
        <v>#REF!</v>
      </c>
      <c r="AR19" s="43"/>
      <c r="AZ19" s="5" t="s">
        <v>75</v>
      </c>
      <c r="BA19" s="5">
        <v>157</v>
      </c>
    </row>
    <row r="20" s="74" customFormat="1" ht="17" customHeight="1">
      <c r="A20" s="75"/>
      <c r="B20" s="76" t="s">
        <v>76</v>
      </c>
      <c r="C20" s="77">
        <v>3</v>
      </c>
      <c r="D20" s="77"/>
      <c r="E20" s="77"/>
      <c r="F20" s="78"/>
      <c r="G20" s="79">
        <f>SUM(G21:G34)</f>
        <v>11966.43</v>
      </c>
      <c r="H20" s="79">
        <f>SUM(H21:H34)</f>
        <v>6590.5021563668297</v>
      </c>
      <c r="I20" s="79">
        <f t="shared" ref="I20:O20" si="21">SUM(I21:I34)</f>
        <v>314463</v>
      </c>
      <c r="J20" s="79">
        <f t="shared" si="21"/>
        <v>157295.20000000001</v>
      </c>
      <c r="K20" s="79">
        <f t="shared" si="21"/>
        <v>3450.8000000000002</v>
      </c>
      <c r="L20" s="79">
        <f t="shared" si="21"/>
        <v>48962</v>
      </c>
      <c r="M20" s="79">
        <f t="shared" si="21"/>
        <v>104882.39999999999</v>
      </c>
      <c r="N20" s="79">
        <f t="shared" si="21"/>
        <v>0</v>
      </c>
      <c r="O20" s="79">
        <f t="shared" si="21"/>
        <v>0</v>
      </c>
      <c r="P20" s="79">
        <v>25920</v>
      </c>
      <c r="Q20" s="79">
        <f t="shared" ref="Q20:W20" si="22">SUM(Q21:Q34)</f>
        <v>23091</v>
      </c>
      <c r="R20" s="79">
        <f t="shared" si="22"/>
        <v>21038.400000000001</v>
      </c>
      <c r="S20" s="79">
        <f t="shared" si="22"/>
        <v>122</v>
      </c>
      <c r="T20" s="79">
        <f t="shared" si="22"/>
        <v>2804.4000000000001</v>
      </c>
      <c r="U20" s="79">
        <f t="shared" si="22"/>
        <v>0</v>
      </c>
      <c r="V20" s="79">
        <f t="shared" si="22"/>
        <v>18112</v>
      </c>
      <c r="W20" s="79">
        <f t="shared" si="22"/>
        <v>2775.0762625869402</v>
      </c>
      <c r="X20" s="80"/>
      <c r="Y20" s="81">
        <f t="shared" ref="Y20:AI20" si="23">SUM(Y21:Y34)</f>
        <v>1.30236518448439</v>
      </c>
      <c r="Z20" s="79">
        <f t="shared" si="23"/>
        <v>3239.4349402703601</v>
      </c>
      <c r="AA20" s="80">
        <v>0</v>
      </c>
      <c r="AB20" s="79">
        <f t="shared" si="23"/>
        <v>0</v>
      </c>
      <c r="AC20" s="79">
        <f t="shared" si="23"/>
        <v>0</v>
      </c>
      <c r="AD20" s="80">
        <f t="shared" si="23"/>
        <v>153844.39999999999</v>
      </c>
      <c r="AE20" s="79" t="e">
        <f t="shared" si="23"/>
        <v>#REF!</v>
      </c>
      <c r="AF20" s="79">
        <f t="shared" si="23"/>
        <v>0</v>
      </c>
      <c r="AG20" s="79">
        <f t="shared" si="23"/>
        <v>78</v>
      </c>
      <c r="AH20" s="79">
        <f t="shared" si="23"/>
        <v>1590.15352697095</v>
      </c>
      <c r="AI20" s="79">
        <f t="shared" si="23"/>
        <v>0</v>
      </c>
      <c r="AJ20" s="81"/>
      <c r="AK20" s="79" t="e">
        <f t="shared" ref="AK20:AO20" si="24">SUM(AK21:AK34)</f>
        <v>#REF!</v>
      </c>
      <c r="AL20" s="80">
        <f t="shared" si="24"/>
        <v>783.63</v>
      </c>
      <c r="AM20" s="79">
        <f t="shared" si="24"/>
        <v>520.57073079226996</v>
      </c>
      <c r="AN20" s="80" t="e">
        <f t="shared" si="24"/>
        <v>#REF!</v>
      </c>
      <c r="AO20" s="80" t="e">
        <f t="shared" si="24"/>
        <v>#REF!</v>
      </c>
      <c r="AP20" s="42" t="e">
        <f t="shared" si="1"/>
        <v>#REF!</v>
      </c>
      <c r="AQ20" s="81" t="e">
        <f>SUM(AQ21:AQ34)</f>
        <v>#REF!</v>
      </c>
      <c r="AR20" s="43" t="e">
        <f t="shared" si="2"/>
        <v>#REF!</v>
      </c>
      <c r="AS20" s="5"/>
      <c r="AT20" s="5"/>
      <c r="AU20" s="5"/>
      <c r="AV20" s="5"/>
      <c r="AW20" s="5"/>
      <c r="AX20" s="5"/>
      <c r="AY20" s="5"/>
      <c r="AZ20" s="5" t="s">
        <v>77</v>
      </c>
      <c r="BA20" s="5">
        <v>606</v>
      </c>
      <c r="BB20" s="5"/>
      <c r="BC20" s="5"/>
      <c r="BD20" s="5"/>
      <c r="BE20" s="5"/>
      <c r="BF20" s="5"/>
      <c r="BG20" s="5"/>
      <c r="BH20" s="5"/>
      <c r="BI20" s="5"/>
      <c r="BJ20" s="5"/>
      <c r="BK20" s="5"/>
      <c r="BL20" s="5"/>
      <c r="BM20" s="5"/>
      <c r="BN20" s="5"/>
      <c r="BO20" s="5"/>
      <c r="BP20" s="5"/>
      <c r="BQ20" s="5"/>
      <c r="BR20" s="5"/>
      <c r="BS20" s="5"/>
      <c r="BT20" s="5"/>
      <c r="BU20" s="5"/>
      <c r="BV20" s="5"/>
      <c r="BW20" s="5"/>
    </row>
    <row r="21" s="5" customFormat="1" ht="17" customHeight="1">
      <c r="A21" s="46">
        <v>1</v>
      </c>
      <c r="B21" s="82" t="s">
        <v>59</v>
      </c>
      <c r="C21" s="46" t="s">
        <v>78</v>
      </c>
      <c r="D21" s="46"/>
      <c r="E21" s="46"/>
      <c r="F21" s="47"/>
      <c r="G21" s="73">
        <f t="shared" ref="G21:G34" si="25">VLOOKUP(B:B,$AZ:$BA,2,0)</f>
        <v>1161</v>
      </c>
      <c r="H21" s="73">
        <f t="shared" ref="H21:H34" si="26">G21*210000/381298.76</f>
        <v>639.41986068876804</v>
      </c>
      <c r="I21" s="73">
        <v>3200</v>
      </c>
      <c r="J21" s="59">
        <f t="shared" ref="J21:J34" si="27">SUM(K21:O21)</f>
        <v>640</v>
      </c>
      <c r="K21" s="59">
        <f t="shared" ref="K21:K34" si="28">IF(D21="",I21*0.2,0)</f>
        <v>640</v>
      </c>
      <c r="L21" s="59">
        <f t="shared" ref="L21:L34" si="29">IF(D21=2017,I21*0.4,0)</f>
        <v>0</v>
      </c>
      <c r="M21" s="59">
        <f t="shared" ref="M21:M34" si="30">IF(D21=2018,I21*0.6,0)</f>
        <v>0</v>
      </c>
      <c r="N21" s="59">
        <f t="shared" ref="N21:N34" si="31">IF(D21=2019,I21*0.8,0)</f>
        <v>0</v>
      </c>
      <c r="O21" s="59">
        <f t="shared" ref="O21:O34" si="32">IF(D21=2020,I21*1,0)</f>
        <v>0</v>
      </c>
      <c r="P21" s="59"/>
      <c r="Q21" s="59"/>
      <c r="R21" s="59">
        <f t="shared" ref="R21:R34" si="33">S21+T21+U21+V21</f>
        <v>0</v>
      </c>
      <c r="S21" s="59"/>
      <c r="T21" s="59"/>
      <c r="U21" s="59"/>
      <c r="V21" s="59"/>
      <c r="W21" s="59">
        <f t="shared" ref="W21:W34" si="34">(J21/$J$9*0.2+P21/$P$9*0.05+R21/$R$9*0.05)*299423</f>
        <v>8.0187142521429493</v>
      </c>
      <c r="X21" s="53">
        <v>22954</v>
      </c>
      <c r="Y21" s="62">
        <f t="shared" ref="Y21:Y34" si="35">IF(X21&lt;12842,(12842-X21)/(12842-$X$175),0)</f>
        <v>0</v>
      </c>
      <c r="Z21" s="59">
        <f t="shared" ref="Z21:Z34" si="36">(Y21/$Y$9*0.15)*299423</f>
        <v>0</v>
      </c>
      <c r="AA21" s="53"/>
      <c r="AB21" s="59"/>
      <c r="AC21" s="59"/>
      <c r="AD21" s="53"/>
      <c r="AE21" s="59"/>
      <c r="AF21" s="59"/>
      <c r="AG21" s="59">
        <v>7</v>
      </c>
      <c r="AH21" s="59">
        <f>AG21/$AG$13*9347</f>
        <v>271.48962655601701</v>
      </c>
      <c r="AI21" s="59"/>
      <c r="AJ21" s="62" t="e">
        <f>VLOOKUP(B:B,'表6资金使用成效（12月30日）'!B:L,11,0)</f>
        <v>#REF!</v>
      </c>
      <c r="AK21" s="59" t="e">
        <f t="shared" ref="AK21:AK34" si="37">AJ21/$AJ$9*0.025*299423</f>
        <v>#REF!</v>
      </c>
      <c r="AL21" s="53">
        <v>78.590000000000003</v>
      </c>
      <c r="AM21" s="59">
        <f t="shared" ref="AM21:AM34" si="38">(AL21/$AL$9)*0.025*299423</f>
        <v>52.207870720830698</v>
      </c>
      <c r="AN21" s="53" t="e">
        <f t="shared" ref="AN21:AN34" si="39">ROUND(AM21+AK21+AE21+AC21+Z21+W21+AI21+AF21,0)</f>
        <v>#REF!</v>
      </c>
      <c r="AO21" s="53" t="e">
        <f t="shared" si="19"/>
        <v>#REF!</v>
      </c>
      <c r="AP21" s="42" t="e">
        <f t="shared" si="1"/>
        <v>#REF!</v>
      </c>
      <c r="AQ21" s="59" t="e">
        <f t="shared" si="20"/>
        <v>#REF!</v>
      </c>
      <c r="AR21" s="43" t="e">
        <f t="shared" si="2"/>
        <v>#REF!</v>
      </c>
      <c r="AZ21" s="5" t="s">
        <v>79</v>
      </c>
      <c r="BA21" s="5">
        <v>460</v>
      </c>
    </row>
    <row r="22" ht="17" customHeight="1">
      <c r="A22" s="46">
        <v>2</v>
      </c>
      <c r="B22" s="82" t="s">
        <v>57</v>
      </c>
      <c r="C22" s="46" t="s">
        <v>78</v>
      </c>
      <c r="D22" s="46"/>
      <c r="E22" s="46"/>
      <c r="F22" s="47"/>
      <c r="G22" s="73">
        <f t="shared" si="25"/>
        <v>0</v>
      </c>
      <c r="H22" s="73">
        <f t="shared" si="26"/>
        <v>0</v>
      </c>
      <c r="I22" s="73"/>
      <c r="J22" s="59">
        <f t="shared" si="27"/>
        <v>0</v>
      </c>
      <c r="K22" s="59">
        <f t="shared" si="28"/>
        <v>0</v>
      </c>
      <c r="L22" s="59">
        <f t="shared" si="29"/>
        <v>0</v>
      </c>
      <c r="M22" s="59">
        <f t="shared" si="30"/>
        <v>0</v>
      </c>
      <c r="N22" s="59">
        <f t="shared" si="31"/>
        <v>0</v>
      </c>
      <c r="O22" s="59">
        <f t="shared" si="32"/>
        <v>0</v>
      </c>
      <c r="P22" s="59"/>
      <c r="Q22" s="59"/>
      <c r="R22" s="59">
        <f t="shared" si="33"/>
        <v>0</v>
      </c>
      <c r="S22" s="59"/>
      <c r="T22" s="59"/>
      <c r="U22" s="59"/>
      <c r="V22" s="59"/>
      <c r="W22" s="59">
        <f t="shared" si="34"/>
        <v>0</v>
      </c>
      <c r="X22" s="53">
        <v>22790</v>
      </c>
      <c r="Y22" s="62">
        <f t="shared" si="35"/>
        <v>0</v>
      </c>
      <c r="Z22" s="59">
        <f t="shared" si="36"/>
        <v>0</v>
      </c>
      <c r="AA22" s="53"/>
      <c r="AB22" s="59"/>
      <c r="AC22" s="59"/>
      <c r="AD22" s="53"/>
      <c r="AE22" s="59"/>
      <c r="AF22" s="59"/>
      <c r="AG22" s="59">
        <v>0</v>
      </c>
      <c r="AH22" s="59"/>
      <c r="AI22" s="59"/>
      <c r="AJ22" s="62"/>
      <c r="AK22" s="59" t="e">
        <f t="shared" si="37"/>
        <v>#REF!</v>
      </c>
      <c r="AL22" s="53">
        <v>0</v>
      </c>
      <c r="AM22" s="59">
        <f t="shared" si="38"/>
        <v>0</v>
      </c>
      <c r="AN22" s="53" t="e">
        <f t="shared" si="39"/>
        <v>#REF!</v>
      </c>
      <c r="AO22" s="53" t="e">
        <f t="shared" si="19"/>
        <v>#REF!</v>
      </c>
      <c r="AP22" s="42"/>
      <c r="AQ22" s="59" t="e">
        <f t="shared" si="20"/>
        <v>#REF!</v>
      </c>
      <c r="AR22" s="43"/>
      <c r="AZ22" s="5" t="s">
        <v>80</v>
      </c>
      <c r="BA22" s="5">
        <v>2426</v>
      </c>
    </row>
    <row r="23" ht="17" customHeight="1">
      <c r="A23" s="46">
        <v>3</v>
      </c>
      <c r="B23" s="82" t="s">
        <v>63</v>
      </c>
      <c r="C23" s="46" t="s">
        <v>78</v>
      </c>
      <c r="D23" s="46"/>
      <c r="E23" s="46"/>
      <c r="F23" s="47"/>
      <c r="G23" s="73">
        <f t="shared" si="25"/>
        <v>0</v>
      </c>
      <c r="H23" s="73">
        <f t="shared" si="26"/>
        <v>0</v>
      </c>
      <c r="I23" s="73"/>
      <c r="J23" s="59">
        <f t="shared" si="27"/>
        <v>0</v>
      </c>
      <c r="K23" s="59">
        <f t="shared" si="28"/>
        <v>0</v>
      </c>
      <c r="L23" s="59">
        <f t="shared" si="29"/>
        <v>0</v>
      </c>
      <c r="M23" s="59">
        <f t="shared" si="30"/>
        <v>0</v>
      </c>
      <c r="N23" s="59">
        <f t="shared" si="31"/>
        <v>0</v>
      </c>
      <c r="O23" s="59">
        <f t="shared" si="32"/>
        <v>0</v>
      </c>
      <c r="P23" s="59"/>
      <c r="Q23" s="59"/>
      <c r="R23" s="59">
        <f t="shared" si="33"/>
        <v>0</v>
      </c>
      <c r="S23" s="59"/>
      <c r="T23" s="59"/>
      <c r="U23" s="59"/>
      <c r="V23" s="59"/>
      <c r="W23" s="59">
        <f t="shared" si="34"/>
        <v>0</v>
      </c>
      <c r="X23" s="53">
        <v>23595</v>
      </c>
      <c r="Y23" s="62">
        <f t="shared" si="35"/>
        <v>0</v>
      </c>
      <c r="Z23" s="59">
        <f t="shared" si="36"/>
        <v>0</v>
      </c>
      <c r="AA23" s="53"/>
      <c r="AB23" s="59"/>
      <c r="AC23" s="59"/>
      <c r="AD23" s="53"/>
      <c r="AE23" s="59"/>
      <c r="AF23" s="59"/>
      <c r="AG23" s="59">
        <v>6</v>
      </c>
      <c r="AH23" s="59"/>
      <c r="AI23" s="59"/>
      <c r="AJ23" s="62"/>
      <c r="AK23" s="59" t="e">
        <f t="shared" si="37"/>
        <v>#REF!</v>
      </c>
      <c r="AL23" s="53">
        <v>0</v>
      </c>
      <c r="AM23" s="59">
        <f t="shared" si="38"/>
        <v>0</v>
      </c>
      <c r="AN23" s="53" t="e">
        <f t="shared" si="39"/>
        <v>#REF!</v>
      </c>
      <c r="AO23" s="53" t="e">
        <f t="shared" si="19"/>
        <v>#REF!</v>
      </c>
      <c r="AP23" s="42"/>
      <c r="AQ23" s="59" t="e">
        <f t="shared" si="20"/>
        <v>#REF!</v>
      </c>
      <c r="AR23" s="43"/>
      <c r="AZ23" s="5" t="s">
        <v>81</v>
      </c>
      <c r="BA23" s="5">
        <v>0</v>
      </c>
    </row>
    <row r="24" ht="17" customHeight="1">
      <c r="A24" s="46">
        <v>4</v>
      </c>
      <c r="B24" s="82" t="s">
        <v>61</v>
      </c>
      <c r="C24" s="46" t="s">
        <v>78</v>
      </c>
      <c r="D24" s="46"/>
      <c r="E24" s="46"/>
      <c r="F24" s="47"/>
      <c r="G24" s="73">
        <f t="shared" si="25"/>
        <v>0</v>
      </c>
      <c r="H24" s="73">
        <f t="shared" si="26"/>
        <v>0</v>
      </c>
      <c r="I24" s="73"/>
      <c r="J24" s="59">
        <f t="shared" si="27"/>
        <v>0</v>
      </c>
      <c r="K24" s="59">
        <f t="shared" si="28"/>
        <v>0</v>
      </c>
      <c r="L24" s="59">
        <f t="shared" si="29"/>
        <v>0</v>
      </c>
      <c r="M24" s="59">
        <f t="shared" si="30"/>
        <v>0</v>
      </c>
      <c r="N24" s="59">
        <f t="shared" si="31"/>
        <v>0</v>
      </c>
      <c r="O24" s="59">
        <f t="shared" si="32"/>
        <v>0</v>
      </c>
      <c r="P24" s="59"/>
      <c r="Q24" s="59"/>
      <c r="R24" s="59">
        <f t="shared" si="33"/>
        <v>0</v>
      </c>
      <c r="S24" s="59"/>
      <c r="T24" s="59"/>
      <c r="U24" s="59"/>
      <c r="V24" s="59"/>
      <c r="W24" s="59">
        <f t="shared" si="34"/>
        <v>0</v>
      </c>
      <c r="X24" s="53">
        <v>24073</v>
      </c>
      <c r="Y24" s="62">
        <f t="shared" si="35"/>
        <v>0</v>
      </c>
      <c r="Z24" s="59">
        <f t="shared" si="36"/>
        <v>0</v>
      </c>
      <c r="AA24" s="53"/>
      <c r="AB24" s="59"/>
      <c r="AC24" s="59"/>
      <c r="AD24" s="53"/>
      <c r="AE24" s="59"/>
      <c r="AF24" s="59"/>
      <c r="AG24" s="59">
        <v>2</v>
      </c>
      <c r="AH24" s="59"/>
      <c r="AI24" s="59"/>
      <c r="AJ24" s="62"/>
      <c r="AK24" s="59" t="e">
        <f t="shared" si="37"/>
        <v>#REF!</v>
      </c>
      <c r="AL24" s="53">
        <v>0</v>
      </c>
      <c r="AM24" s="59">
        <f t="shared" si="38"/>
        <v>0</v>
      </c>
      <c r="AN24" s="53" t="e">
        <f t="shared" si="39"/>
        <v>#REF!</v>
      </c>
      <c r="AO24" s="53" t="e">
        <f t="shared" si="19"/>
        <v>#REF!</v>
      </c>
      <c r="AP24" s="42"/>
      <c r="AQ24" s="59" t="e">
        <f t="shared" si="20"/>
        <v>#REF!</v>
      </c>
      <c r="AR24" s="43"/>
      <c r="AZ24" s="5" t="s">
        <v>82</v>
      </c>
      <c r="BA24" s="5">
        <v>76855.330000000002</v>
      </c>
    </row>
    <row r="25" ht="17" customHeight="1">
      <c r="A25" s="46">
        <v>5</v>
      </c>
      <c r="B25" s="82" t="s">
        <v>67</v>
      </c>
      <c r="C25" s="46" t="s">
        <v>78</v>
      </c>
      <c r="D25" s="46"/>
      <c r="E25" s="46"/>
      <c r="F25" s="47"/>
      <c r="G25" s="73">
        <f t="shared" si="25"/>
        <v>0</v>
      </c>
      <c r="H25" s="73">
        <f t="shared" si="26"/>
        <v>0</v>
      </c>
      <c r="I25" s="73"/>
      <c r="J25" s="59">
        <f t="shared" si="27"/>
        <v>0</v>
      </c>
      <c r="K25" s="59">
        <f t="shared" si="28"/>
        <v>0</v>
      </c>
      <c r="L25" s="59">
        <f t="shared" si="29"/>
        <v>0</v>
      </c>
      <c r="M25" s="59">
        <f t="shared" si="30"/>
        <v>0</v>
      </c>
      <c r="N25" s="59">
        <f t="shared" si="31"/>
        <v>0</v>
      </c>
      <c r="O25" s="59">
        <f t="shared" si="32"/>
        <v>0</v>
      </c>
      <c r="P25" s="59"/>
      <c r="Q25" s="59"/>
      <c r="R25" s="59">
        <f t="shared" si="33"/>
        <v>0</v>
      </c>
      <c r="S25" s="59"/>
      <c r="T25" s="59"/>
      <c r="U25" s="59"/>
      <c r="V25" s="59"/>
      <c r="W25" s="59">
        <f t="shared" si="34"/>
        <v>0</v>
      </c>
      <c r="X25" s="53">
        <v>23298</v>
      </c>
      <c r="Y25" s="62">
        <f t="shared" si="35"/>
        <v>0</v>
      </c>
      <c r="Z25" s="59">
        <f t="shared" si="36"/>
        <v>0</v>
      </c>
      <c r="AA25" s="53"/>
      <c r="AB25" s="59"/>
      <c r="AC25" s="59"/>
      <c r="AD25" s="53"/>
      <c r="AE25" s="59"/>
      <c r="AF25" s="59"/>
      <c r="AG25" s="59">
        <v>2</v>
      </c>
      <c r="AH25" s="59"/>
      <c r="AI25" s="59"/>
      <c r="AJ25" s="62"/>
      <c r="AK25" s="59" t="e">
        <f t="shared" si="37"/>
        <v>#REF!</v>
      </c>
      <c r="AL25" s="53">
        <v>0</v>
      </c>
      <c r="AM25" s="59">
        <f t="shared" si="38"/>
        <v>0</v>
      </c>
      <c r="AN25" s="53" t="e">
        <f t="shared" si="39"/>
        <v>#REF!</v>
      </c>
      <c r="AO25" s="53" t="e">
        <f t="shared" si="19"/>
        <v>#REF!</v>
      </c>
      <c r="AP25" s="42"/>
      <c r="AQ25" s="59" t="e">
        <f t="shared" si="20"/>
        <v>#REF!</v>
      </c>
      <c r="AR25" s="43"/>
      <c r="AZ25" s="5" t="s">
        <v>83</v>
      </c>
      <c r="BA25" s="5">
        <v>0</v>
      </c>
    </row>
    <row r="26" ht="17" customHeight="1">
      <c r="A26" s="46">
        <v>6</v>
      </c>
      <c r="B26" s="82" t="s">
        <v>81</v>
      </c>
      <c r="C26" s="46" t="s">
        <v>78</v>
      </c>
      <c r="D26" s="46"/>
      <c r="E26" s="46"/>
      <c r="F26" s="47"/>
      <c r="G26" s="73">
        <f t="shared" si="25"/>
        <v>0</v>
      </c>
      <c r="H26" s="73">
        <f t="shared" si="26"/>
        <v>0</v>
      </c>
      <c r="I26" s="73"/>
      <c r="J26" s="59">
        <f t="shared" si="27"/>
        <v>0</v>
      </c>
      <c r="K26" s="59">
        <f t="shared" si="28"/>
        <v>0</v>
      </c>
      <c r="L26" s="59">
        <f t="shared" si="29"/>
        <v>0</v>
      </c>
      <c r="M26" s="59">
        <f t="shared" si="30"/>
        <v>0</v>
      </c>
      <c r="N26" s="59">
        <f t="shared" si="31"/>
        <v>0</v>
      </c>
      <c r="O26" s="59">
        <f t="shared" si="32"/>
        <v>0</v>
      </c>
      <c r="P26" s="59"/>
      <c r="Q26" s="59"/>
      <c r="R26" s="59">
        <f t="shared" si="33"/>
        <v>0</v>
      </c>
      <c r="S26" s="59"/>
      <c r="T26" s="59"/>
      <c r="U26" s="59"/>
      <c r="V26" s="59"/>
      <c r="W26" s="59">
        <f t="shared" si="34"/>
        <v>0</v>
      </c>
      <c r="X26" s="53">
        <v>21410</v>
      </c>
      <c r="Y26" s="62">
        <f t="shared" si="35"/>
        <v>0</v>
      </c>
      <c r="Z26" s="59">
        <f t="shared" si="36"/>
        <v>0</v>
      </c>
      <c r="AA26" s="53"/>
      <c r="AB26" s="59"/>
      <c r="AC26" s="59"/>
      <c r="AD26" s="53"/>
      <c r="AE26" s="59"/>
      <c r="AF26" s="59"/>
      <c r="AG26" s="59">
        <v>7</v>
      </c>
      <c r="AH26" s="59"/>
      <c r="AI26" s="59"/>
      <c r="AJ26" s="62"/>
      <c r="AK26" s="59" t="e">
        <f t="shared" si="37"/>
        <v>#REF!</v>
      </c>
      <c r="AL26" s="53">
        <v>0</v>
      </c>
      <c r="AM26" s="59">
        <f t="shared" si="38"/>
        <v>0</v>
      </c>
      <c r="AN26" s="53" t="e">
        <f t="shared" si="39"/>
        <v>#REF!</v>
      </c>
      <c r="AO26" s="53" t="e">
        <f t="shared" si="19"/>
        <v>#REF!</v>
      </c>
      <c r="AP26" s="42"/>
      <c r="AQ26" s="59" t="e">
        <f t="shared" si="20"/>
        <v>#REF!</v>
      </c>
      <c r="AR26" s="43"/>
      <c r="AZ26" s="5" t="s">
        <v>84</v>
      </c>
      <c r="BA26" s="5">
        <v>4664</v>
      </c>
    </row>
    <row r="27" ht="17" customHeight="1">
      <c r="A27" s="46">
        <v>7</v>
      </c>
      <c r="B27" s="82" t="s">
        <v>71</v>
      </c>
      <c r="C27" s="46" t="s">
        <v>78</v>
      </c>
      <c r="D27" s="46"/>
      <c r="E27" s="46"/>
      <c r="F27" s="47"/>
      <c r="G27" s="73">
        <f t="shared" si="25"/>
        <v>256</v>
      </c>
      <c r="H27" s="73">
        <f t="shared" si="26"/>
        <v>140.99180390725601</v>
      </c>
      <c r="I27" s="73">
        <v>2323</v>
      </c>
      <c r="J27" s="59">
        <f t="shared" si="27"/>
        <v>464.60000000000002</v>
      </c>
      <c r="K27" s="59">
        <f t="shared" si="28"/>
        <v>464.60000000000002</v>
      </c>
      <c r="L27" s="59">
        <f t="shared" si="29"/>
        <v>0</v>
      </c>
      <c r="M27" s="59">
        <f t="shared" si="30"/>
        <v>0</v>
      </c>
      <c r="N27" s="59">
        <f t="shared" si="31"/>
        <v>0</v>
      </c>
      <c r="O27" s="59">
        <f t="shared" si="32"/>
        <v>0</v>
      </c>
      <c r="P27" s="59">
        <v>213</v>
      </c>
      <c r="Q27" s="59">
        <v>36</v>
      </c>
      <c r="R27" s="59">
        <f t="shared" si="33"/>
        <v>14.4</v>
      </c>
      <c r="S27" s="59">
        <f t="shared" ref="S27:S31" si="40">Q27*0.4</f>
        <v>14.4</v>
      </c>
      <c r="T27" s="59">
        <f>IF(AND(Q27&gt;=800,Q27&lt;3000),Q27*0.6,0)</f>
        <v>0</v>
      </c>
      <c r="U27" s="59"/>
      <c r="V27" s="59"/>
      <c r="W27" s="59">
        <f t="shared" si="34"/>
        <v>9.8811097122617895</v>
      </c>
      <c r="X27" s="53">
        <v>17374</v>
      </c>
      <c r="Y27" s="62">
        <f t="shared" si="35"/>
        <v>0</v>
      </c>
      <c r="Z27" s="59">
        <f t="shared" si="36"/>
        <v>0</v>
      </c>
      <c r="AA27" s="53"/>
      <c r="AB27" s="59"/>
      <c r="AC27" s="59"/>
      <c r="AD27" s="53"/>
      <c r="AE27" s="59"/>
      <c r="AF27" s="59"/>
      <c r="AG27" s="59">
        <v>6</v>
      </c>
      <c r="AH27" s="59">
        <f t="shared" ref="AH22:AH31" si="41">AG27/$AG$13*9347</f>
        <v>232.705394190871</v>
      </c>
      <c r="AI27" s="59"/>
      <c r="AJ27" s="62" t="e">
        <f>VLOOKUP(B:B,'表6资金使用成效（12月30日）'!B:L,11,0)</f>
        <v>#REF!</v>
      </c>
      <c r="AK27" s="59" t="e">
        <f t="shared" si="37"/>
        <v>#REF!</v>
      </c>
      <c r="AL27" s="53">
        <v>89.379999999999995</v>
      </c>
      <c r="AM27" s="59">
        <f t="shared" si="38"/>
        <v>59.375740997936703</v>
      </c>
      <c r="AN27" s="53" t="e">
        <f t="shared" si="39"/>
        <v>#REF!</v>
      </c>
      <c r="AO27" s="53" t="e">
        <f t="shared" si="19"/>
        <v>#REF!</v>
      </c>
      <c r="AP27" s="42" t="e">
        <f t="shared" si="1"/>
        <v>#REF!</v>
      </c>
      <c r="AQ27" s="59" t="e">
        <f t="shared" si="20"/>
        <v>#REF!</v>
      </c>
      <c r="AR27" s="43" t="e">
        <f t="shared" si="2"/>
        <v>#REF!</v>
      </c>
      <c r="AZ27" s="5" t="s">
        <v>85</v>
      </c>
      <c r="BA27" s="5">
        <v>4056</v>
      </c>
    </row>
    <row r="28" s="5" customFormat="1" ht="17" customHeight="1">
      <c r="A28" s="46">
        <v>8</v>
      </c>
      <c r="B28" s="82" t="s">
        <v>69</v>
      </c>
      <c r="C28" s="46" t="s">
        <v>78</v>
      </c>
      <c r="D28" s="46"/>
      <c r="E28" s="46"/>
      <c r="F28" s="46"/>
      <c r="G28" s="73">
        <f t="shared" si="25"/>
        <v>10</v>
      </c>
      <c r="H28" s="73">
        <f t="shared" si="26"/>
        <v>5.5074923401272002</v>
      </c>
      <c r="I28" s="73">
        <v>1149</v>
      </c>
      <c r="J28" s="59">
        <f t="shared" si="27"/>
        <v>229.80000000000001</v>
      </c>
      <c r="K28" s="59">
        <f t="shared" si="28"/>
        <v>229.80000000000001</v>
      </c>
      <c r="L28" s="59">
        <f t="shared" si="29"/>
        <v>0</v>
      </c>
      <c r="M28" s="59">
        <f t="shared" si="30"/>
        <v>0</v>
      </c>
      <c r="N28" s="59">
        <f t="shared" si="31"/>
        <v>0</v>
      </c>
      <c r="O28" s="59">
        <f t="shared" si="32"/>
        <v>0</v>
      </c>
      <c r="P28" s="59">
        <v>32</v>
      </c>
      <c r="Q28" s="59">
        <v>0</v>
      </c>
      <c r="R28" s="59">
        <f t="shared" si="33"/>
        <v>0</v>
      </c>
      <c r="S28" s="59"/>
      <c r="T28" s="59"/>
      <c r="U28" s="59"/>
      <c r="V28" s="59"/>
      <c r="W28" s="59">
        <f t="shared" si="34"/>
        <v>3.4543776992715798</v>
      </c>
      <c r="X28" s="61">
        <v>18679</v>
      </c>
      <c r="Y28" s="62">
        <f t="shared" si="35"/>
        <v>0</v>
      </c>
      <c r="Z28" s="59">
        <f t="shared" si="36"/>
        <v>0</v>
      </c>
      <c r="AA28" s="59"/>
      <c r="AB28" s="59"/>
      <c r="AC28" s="59"/>
      <c r="AD28" s="61"/>
      <c r="AE28" s="59"/>
      <c r="AF28" s="59"/>
      <c r="AG28" s="59">
        <v>8</v>
      </c>
      <c r="AH28" s="59">
        <f t="shared" si="41"/>
        <v>310.273858921162</v>
      </c>
      <c r="AI28" s="59"/>
      <c r="AJ28" s="62" t="e">
        <f>VLOOKUP(B:B,表6资金使用成效（12月30日）!B:L,11,0)</f>
        <v>#REF!</v>
      </c>
      <c r="AK28" s="59" t="e">
        <f t="shared" si="37"/>
        <v>#REF!</v>
      </c>
      <c r="AL28" s="61">
        <v>89.359999999999999</v>
      </c>
      <c r="AM28" s="59">
        <f t="shared" si="38"/>
        <v>59.3624548621126</v>
      </c>
      <c r="AN28" s="53" t="e">
        <f t="shared" si="39"/>
        <v>#REF!</v>
      </c>
      <c r="AO28" s="53" t="e">
        <f t="shared" si="19"/>
        <v>#REF!</v>
      </c>
      <c r="AP28" s="83" t="e">
        <f t="shared" si="1"/>
        <v>#REF!</v>
      </c>
      <c r="AQ28" s="59" t="e">
        <f t="shared" si="20"/>
        <v>#REF!</v>
      </c>
      <c r="AR28" s="43" t="e">
        <f t="shared" si="2"/>
        <v>#REF!</v>
      </c>
      <c r="AZ28" s="5" t="s">
        <v>86</v>
      </c>
      <c r="BA28" s="5">
        <v>5450</v>
      </c>
    </row>
    <row r="29" ht="17" customHeight="1">
      <c r="A29" s="46">
        <v>9</v>
      </c>
      <c r="B29" s="82" t="s">
        <v>73</v>
      </c>
      <c r="C29" s="46" t="s">
        <v>78</v>
      </c>
      <c r="D29" s="46"/>
      <c r="E29" s="46"/>
      <c r="F29" s="46"/>
      <c r="G29" s="73">
        <f t="shared" si="25"/>
        <v>176</v>
      </c>
      <c r="H29" s="73">
        <f t="shared" si="26"/>
        <v>96.931865186238696</v>
      </c>
      <c r="I29" s="73">
        <v>3781</v>
      </c>
      <c r="J29" s="59">
        <f t="shared" si="27"/>
        <v>756.20000000000005</v>
      </c>
      <c r="K29" s="59">
        <f t="shared" si="28"/>
        <v>756.20000000000005</v>
      </c>
      <c r="L29" s="59">
        <f t="shared" si="29"/>
        <v>0</v>
      </c>
      <c r="M29" s="59">
        <f t="shared" si="30"/>
        <v>0</v>
      </c>
      <c r="N29" s="59">
        <f t="shared" si="31"/>
        <v>0</v>
      </c>
      <c r="O29" s="59">
        <f t="shared" si="32"/>
        <v>0</v>
      </c>
      <c r="P29" s="59">
        <v>425</v>
      </c>
      <c r="Q29" s="59">
        <v>18</v>
      </c>
      <c r="R29" s="59">
        <f t="shared" si="33"/>
        <v>7.2000000000000002</v>
      </c>
      <c r="S29" s="59">
        <f t="shared" si="40"/>
        <v>7.2000000000000002</v>
      </c>
      <c r="T29" s="59"/>
      <c r="U29" s="59"/>
      <c r="V29" s="59"/>
      <c r="W29" s="59">
        <f t="shared" si="34"/>
        <v>17.229244820533999</v>
      </c>
      <c r="X29" s="61">
        <v>17701</v>
      </c>
      <c r="Y29" s="62">
        <f t="shared" si="35"/>
        <v>0</v>
      </c>
      <c r="Z29" s="59">
        <f t="shared" si="36"/>
        <v>0</v>
      </c>
      <c r="AA29" s="59"/>
      <c r="AB29" s="59"/>
      <c r="AC29" s="59"/>
      <c r="AD29" s="61"/>
      <c r="AE29" s="59"/>
      <c r="AF29" s="59"/>
      <c r="AG29" s="59">
        <v>6</v>
      </c>
      <c r="AH29" s="59">
        <f t="shared" si="41"/>
        <v>232.705394190871</v>
      </c>
      <c r="AI29" s="59"/>
      <c r="AJ29" s="62" t="e">
        <f>VLOOKUP(B:B,表6资金使用成效（12月30日）!B:L,11,0)</f>
        <v>#REF!</v>
      </c>
      <c r="AK29" s="59" t="e">
        <f t="shared" si="37"/>
        <v>#REF!</v>
      </c>
      <c r="AL29" s="61">
        <v>82.150000000000006</v>
      </c>
      <c r="AM29" s="59">
        <f t="shared" si="38"/>
        <v>54.572802897521797</v>
      </c>
      <c r="AN29" s="53" t="e">
        <f t="shared" si="39"/>
        <v>#REF!</v>
      </c>
      <c r="AO29" s="53" t="e">
        <f t="shared" si="19"/>
        <v>#REF!</v>
      </c>
      <c r="AP29" s="42" t="e">
        <f t="shared" si="1"/>
        <v>#REF!</v>
      </c>
      <c r="AQ29" s="59" t="e">
        <f t="shared" si="20"/>
        <v>#REF!</v>
      </c>
      <c r="AR29" s="43" t="e">
        <f t="shared" si="2"/>
        <v>#REF!</v>
      </c>
      <c r="AZ29" s="5" t="s">
        <v>87</v>
      </c>
      <c r="BA29" s="5">
        <v>3486</v>
      </c>
    </row>
    <row r="30" ht="17" customHeight="1">
      <c r="A30" s="46">
        <v>10</v>
      </c>
      <c r="B30" s="82" t="s">
        <v>75</v>
      </c>
      <c r="C30" s="46" t="s">
        <v>78</v>
      </c>
      <c r="D30" s="46"/>
      <c r="E30" s="46"/>
      <c r="F30" s="46"/>
      <c r="G30" s="73">
        <f t="shared" si="25"/>
        <v>157</v>
      </c>
      <c r="H30" s="73">
        <f t="shared" si="26"/>
        <v>86.467629739997093</v>
      </c>
      <c r="I30" s="73">
        <v>3751</v>
      </c>
      <c r="J30" s="59">
        <f t="shared" si="27"/>
        <v>750.20000000000005</v>
      </c>
      <c r="K30" s="59">
        <f t="shared" si="28"/>
        <v>750.20000000000005</v>
      </c>
      <c r="L30" s="59">
        <f t="shared" si="29"/>
        <v>0</v>
      </c>
      <c r="M30" s="59">
        <f t="shared" si="30"/>
        <v>0</v>
      </c>
      <c r="N30" s="59">
        <f t="shared" si="31"/>
        <v>0</v>
      </c>
      <c r="O30" s="59">
        <f t="shared" si="32"/>
        <v>0</v>
      </c>
      <c r="P30" s="59">
        <v>201</v>
      </c>
      <c r="Q30" s="59">
        <v>0</v>
      </c>
      <c r="R30" s="59">
        <f t="shared" si="33"/>
        <v>0</v>
      </c>
      <c r="S30" s="59"/>
      <c r="T30" s="59"/>
      <c r="U30" s="59"/>
      <c r="V30" s="59"/>
      <c r="W30" s="59">
        <f t="shared" si="34"/>
        <v>13.0121485104154</v>
      </c>
      <c r="X30" s="61">
        <v>17440</v>
      </c>
      <c r="Y30" s="62">
        <f t="shared" si="35"/>
        <v>0</v>
      </c>
      <c r="Z30" s="59">
        <f t="shared" si="36"/>
        <v>0</v>
      </c>
      <c r="AA30" s="59"/>
      <c r="AB30" s="59"/>
      <c r="AC30" s="59"/>
      <c r="AD30" s="61"/>
      <c r="AE30" s="59"/>
      <c r="AF30" s="59"/>
      <c r="AG30" s="59">
        <v>6</v>
      </c>
      <c r="AH30" s="59">
        <f t="shared" si="41"/>
        <v>232.705394190871</v>
      </c>
      <c r="AI30" s="59"/>
      <c r="AJ30" s="62" t="e">
        <f>VLOOKUP(B:B,表6资金使用成效（12月30日）!B:L,11,0)</f>
        <v>#REF!</v>
      </c>
      <c r="AK30" s="59" t="e">
        <f t="shared" si="37"/>
        <v>#REF!</v>
      </c>
      <c r="AL30" s="61">
        <v>89.480000000000004</v>
      </c>
      <c r="AM30" s="59">
        <f t="shared" si="38"/>
        <v>59.442171677057203</v>
      </c>
      <c r="AN30" s="53" t="e">
        <f t="shared" si="39"/>
        <v>#REF!</v>
      </c>
      <c r="AO30" s="53" t="e">
        <f t="shared" si="19"/>
        <v>#REF!</v>
      </c>
      <c r="AP30" s="42" t="e">
        <f t="shared" si="1"/>
        <v>#REF!</v>
      </c>
      <c r="AQ30" s="59" t="e">
        <f t="shared" si="20"/>
        <v>#REF!</v>
      </c>
      <c r="AR30" s="43" t="e">
        <f t="shared" si="2"/>
        <v>#REF!</v>
      </c>
      <c r="AZ30" s="5" t="s">
        <v>88</v>
      </c>
      <c r="BA30" s="5">
        <v>5185</v>
      </c>
    </row>
    <row r="31" ht="17" customHeight="1">
      <c r="A31" s="46">
        <v>11</v>
      </c>
      <c r="B31" s="82" t="s">
        <v>77</v>
      </c>
      <c r="C31" s="46" t="s">
        <v>78</v>
      </c>
      <c r="D31" s="46"/>
      <c r="E31" s="46"/>
      <c r="F31" s="46"/>
      <c r="G31" s="73">
        <f t="shared" si="25"/>
        <v>606</v>
      </c>
      <c r="H31" s="73">
        <f t="shared" si="26"/>
        <v>333.75403581170798</v>
      </c>
      <c r="I31" s="73">
        <v>3050</v>
      </c>
      <c r="J31" s="59">
        <f t="shared" si="27"/>
        <v>610</v>
      </c>
      <c r="K31" s="59">
        <f t="shared" si="28"/>
        <v>610</v>
      </c>
      <c r="L31" s="59">
        <f t="shared" si="29"/>
        <v>0</v>
      </c>
      <c r="M31" s="59">
        <f t="shared" si="30"/>
        <v>0</v>
      </c>
      <c r="N31" s="59">
        <f t="shared" si="31"/>
        <v>0</v>
      </c>
      <c r="O31" s="59">
        <f t="shared" si="32"/>
        <v>0</v>
      </c>
      <c r="P31" s="59">
        <v>439</v>
      </c>
      <c r="Q31" s="59">
        <v>251</v>
      </c>
      <c r="R31" s="59">
        <f t="shared" si="33"/>
        <v>100.40000000000001</v>
      </c>
      <c r="S31" s="59">
        <f t="shared" si="40"/>
        <v>100.40000000000001</v>
      </c>
      <c r="T31" s="59"/>
      <c r="U31" s="59"/>
      <c r="V31" s="59"/>
      <c r="W31" s="59">
        <f t="shared" si="34"/>
        <v>17.148250281836901</v>
      </c>
      <c r="X31" s="61">
        <v>17239</v>
      </c>
      <c r="Y31" s="62">
        <f t="shared" si="35"/>
        <v>0</v>
      </c>
      <c r="Z31" s="59">
        <f t="shared" si="36"/>
        <v>0</v>
      </c>
      <c r="AA31" s="59"/>
      <c r="AB31" s="59"/>
      <c r="AC31" s="59"/>
      <c r="AD31" s="61"/>
      <c r="AE31" s="59"/>
      <c r="AF31" s="59"/>
      <c r="AG31" s="59">
        <v>8</v>
      </c>
      <c r="AH31" s="59">
        <f t="shared" si="41"/>
        <v>310.273858921162</v>
      </c>
      <c r="AI31" s="59"/>
      <c r="AJ31" s="62" t="e">
        <f>VLOOKUP(B:B,表6资金使用成效（12月30日）!B:L,11,0)</f>
        <v>#REF!</v>
      </c>
      <c r="AK31" s="59" t="e">
        <f t="shared" si="37"/>
        <v>#REF!</v>
      </c>
      <c r="AL31" s="61">
        <v>90.680000000000007</v>
      </c>
      <c r="AM31" s="59">
        <f t="shared" si="38"/>
        <v>60.239339826503702</v>
      </c>
      <c r="AN31" s="53" t="e">
        <f t="shared" si="39"/>
        <v>#REF!</v>
      </c>
      <c r="AO31" s="53" t="e">
        <f t="shared" si="19"/>
        <v>#REF!</v>
      </c>
      <c r="AP31" s="42" t="e">
        <f t="shared" si="1"/>
        <v>#REF!</v>
      </c>
      <c r="AQ31" s="59" t="e">
        <f t="shared" si="20"/>
        <v>#REF!</v>
      </c>
      <c r="AR31" s="43" t="e">
        <f t="shared" si="2"/>
        <v>#REF!</v>
      </c>
      <c r="AZ31" s="5" t="s">
        <v>89</v>
      </c>
      <c r="BA31" s="5">
        <v>5180</v>
      </c>
    </row>
    <row r="32" ht="17" customHeight="1">
      <c r="A32" s="46">
        <v>12</v>
      </c>
      <c r="B32" s="82" t="s">
        <v>79</v>
      </c>
      <c r="C32" s="46" t="s">
        <v>90</v>
      </c>
      <c r="D32" s="46">
        <v>2018</v>
      </c>
      <c r="E32" s="46" t="s">
        <v>91</v>
      </c>
      <c r="F32" s="46"/>
      <c r="G32" s="73">
        <f t="shared" si="25"/>
        <v>460</v>
      </c>
      <c r="H32" s="73">
        <f t="shared" si="26"/>
        <v>253.34464764585101</v>
      </c>
      <c r="I32" s="73">
        <v>81053</v>
      </c>
      <c r="J32" s="59">
        <f t="shared" si="27"/>
        <v>48631.800000000003</v>
      </c>
      <c r="K32" s="59">
        <f t="shared" si="28"/>
        <v>0</v>
      </c>
      <c r="L32" s="59">
        <f t="shared" si="29"/>
        <v>0</v>
      </c>
      <c r="M32" s="59">
        <f t="shared" si="30"/>
        <v>48631.800000000003</v>
      </c>
      <c r="N32" s="59">
        <f t="shared" si="31"/>
        <v>0</v>
      </c>
      <c r="O32" s="59">
        <f t="shared" si="32"/>
        <v>0</v>
      </c>
      <c r="P32" s="59">
        <v>4852</v>
      </c>
      <c r="Q32" s="59">
        <v>1833</v>
      </c>
      <c r="R32" s="59">
        <f t="shared" si="33"/>
        <v>1099.8</v>
      </c>
      <c r="S32" s="59"/>
      <c r="T32" s="59">
        <f>Q32*0.6</f>
        <v>1099.8</v>
      </c>
      <c r="U32" s="59"/>
      <c r="V32" s="59"/>
      <c r="W32" s="59">
        <f t="shared" si="34"/>
        <v>714.21849181928098</v>
      </c>
      <c r="X32" s="61">
        <v>10553</v>
      </c>
      <c r="Y32" s="62">
        <f t="shared" si="35"/>
        <v>0.43311258278145698</v>
      </c>
      <c r="Z32" s="59">
        <f t="shared" si="36"/>
        <v>1077.3015513989301</v>
      </c>
      <c r="AA32" s="59"/>
      <c r="AB32" s="59"/>
      <c r="AC32" s="59"/>
      <c r="AD32" s="61">
        <f t="shared" ref="AD32:AD34" si="42">J32</f>
        <v>48631.800000000003</v>
      </c>
      <c r="AE32" s="59"/>
      <c r="AF32" s="59"/>
      <c r="AG32" s="59">
        <v>5</v>
      </c>
      <c r="AH32" s="59"/>
      <c r="AI32" s="59"/>
      <c r="AJ32" s="62" t="e">
        <f>VLOOKUP(B:B,表6资金使用成效（12月30日）!B:L,11,0)</f>
        <v>#REF!</v>
      </c>
      <c r="AK32" s="59" t="e">
        <f t="shared" si="37"/>
        <v>#REF!</v>
      </c>
      <c r="AL32" s="61">
        <v>82.25</v>
      </c>
      <c r="AM32" s="59">
        <f t="shared" si="38"/>
        <v>54.639233576642297</v>
      </c>
      <c r="AN32" s="53" t="e">
        <f t="shared" si="39"/>
        <v>#REF!</v>
      </c>
      <c r="AO32" s="53" t="e">
        <f t="shared" si="19"/>
        <v>#REF!</v>
      </c>
      <c r="AP32" s="42" t="e">
        <f t="shared" si="1"/>
        <v>#REF!</v>
      </c>
      <c r="AQ32" s="59" t="e">
        <f t="shared" si="20"/>
        <v>#REF!</v>
      </c>
      <c r="AR32" s="43" t="e">
        <f t="shared" si="2"/>
        <v>#REF!</v>
      </c>
      <c r="AZ32" s="5" t="s">
        <v>92</v>
      </c>
      <c r="BA32" s="5">
        <v>5145</v>
      </c>
    </row>
    <row r="33" s="84" customFormat="1" ht="17" customHeight="1">
      <c r="A33" s="85">
        <v>13</v>
      </c>
      <c r="B33" s="86" t="s">
        <v>65</v>
      </c>
      <c r="C33" s="85" t="s">
        <v>93</v>
      </c>
      <c r="D33" s="85">
        <v>2018</v>
      </c>
      <c r="E33" s="46" t="s">
        <v>94</v>
      </c>
      <c r="F33" s="46"/>
      <c r="G33" s="73">
        <f t="shared" si="25"/>
        <v>6714.4300000000003</v>
      </c>
      <c r="H33" s="73">
        <f t="shared" si="26"/>
        <v>3697.9671793320299</v>
      </c>
      <c r="I33" s="73">
        <v>93751</v>
      </c>
      <c r="J33" s="59">
        <f t="shared" si="27"/>
        <v>56250.599999999999</v>
      </c>
      <c r="K33" s="59">
        <f t="shared" si="28"/>
        <v>0</v>
      </c>
      <c r="L33" s="59">
        <f t="shared" si="29"/>
        <v>0</v>
      </c>
      <c r="M33" s="59">
        <f t="shared" si="30"/>
        <v>56250.599999999999</v>
      </c>
      <c r="N33" s="59">
        <f t="shared" si="31"/>
        <v>0</v>
      </c>
      <c r="O33" s="59">
        <f t="shared" si="32"/>
        <v>0</v>
      </c>
      <c r="P33" s="59">
        <v>13932</v>
      </c>
      <c r="Q33" s="59">
        <v>18112</v>
      </c>
      <c r="R33" s="59">
        <f t="shared" si="33"/>
        <v>18112</v>
      </c>
      <c r="S33" s="59"/>
      <c r="T33" s="59">
        <f>IF(AND(Q33&gt;=800,Q33&lt;3000),Q33*0.6,0)</f>
        <v>0</v>
      </c>
      <c r="U33" s="59"/>
      <c r="V33" s="59">
        <f>Q33*1</f>
        <v>18112</v>
      </c>
      <c r="W33" s="59">
        <f t="shared" si="34"/>
        <v>1246.52352115279</v>
      </c>
      <c r="X33" s="61">
        <v>10243</v>
      </c>
      <c r="Y33" s="62">
        <f t="shared" si="35"/>
        <v>0.49176915799432402</v>
      </c>
      <c r="Z33" s="59">
        <f t="shared" si="36"/>
        <v>1223.2008440741899</v>
      </c>
      <c r="AA33" s="59"/>
      <c r="AB33" s="59"/>
      <c r="AC33" s="59"/>
      <c r="AD33" s="61">
        <f t="shared" si="42"/>
        <v>56250.599999999999</v>
      </c>
      <c r="AE33" s="59" t="e">
        <f>H33-W33-Z33-AC33-AK33-AM33</f>
        <v>#REF!</v>
      </c>
      <c r="AF33" s="59"/>
      <c r="AG33" s="59">
        <v>7</v>
      </c>
      <c r="AH33" s="59"/>
      <c r="AI33" s="59"/>
      <c r="AJ33" s="62" t="e">
        <f>VLOOKUP(B:B,表6资金使用成效（12月30日）!B:L,11,0)</f>
        <v>#REF!</v>
      </c>
      <c r="AK33" s="59" t="e">
        <f t="shared" si="37"/>
        <v>#REF!</v>
      </c>
      <c r="AL33" s="61">
        <v>92.239999999999995</v>
      </c>
      <c r="AM33" s="59">
        <f t="shared" si="38"/>
        <v>61.275658420784097</v>
      </c>
      <c r="AN33" s="53" t="e">
        <f t="shared" si="39"/>
        <v>#REF!</v>
      </c>
      <c r="AO33" s="53" t="e">
        <f t="shared" si="19"/>
        <v>#REF!</v>
      </c>
      <c r="AP33" s="42" t="e">
        <f t="shared" si="1"/>
        <v>#REF!</v>
      </c>
      <c r="AQ33" s="59" t="e">
        <f t="shared" si="20"/>
        <v>#REF!</v>
      </c>
      <c r="AR33" s="43" t="e">
        <f t="shared" si="2"/>
        <v>#REF!</v>
      </c>
      <c r="AZ33" s="84" t="s">
        <v>95</v>
      </c>
      <c r="BA33" s="84">
        <v>33802.330000000002</v>
      </c>
    </row>
    <row r="34" ht="17" customHeight="1">
      <c r="A34" s="46">
        <v>14</v>
      </c>
      <c r="B34" s="82" t="s">
        <v>80</v>
      </c>
      <c r="C34" s="46" t="s">
        <v>90</v>
      </c>
      <c r="D34" s="46">
        <v>2017</v>
      </c>
      <c r="E34" s="46" t="s">
        <v>91</v>
      </c>
      <c r="F34" s="46"/>
      <c r="G34" s="73">
        <f t="shared" si="25"/>
        <v>2426</v>
      </c>
      <c r="H34" s="73">
        <f t="shared" si="26"/>
        <v>1336.1176417148599</v>
      </c>
      <c r="I34" s="73">
        <v>122405</v>
      </c>
      <c r="J34" s="59">
        <f t="shared" si="27"/>
        <v>48962</v>
      </c>
      <c r="K34" s="59">
        <f t="shared" si="28"/>
        <v>0</v>
      </c>
      <c r="L34" s="59">
        <f t="shared" si="29"/>
        <v>48962</v>
      </c>
      <c r="M34" s="59">
        <f t="shared" si="30"/>
        <v>0</v>
      </c>
      <c r="N34" s="59">
        <f t="shared" si="31"/>
        <v>0</v>
      </c>
      <c r="O34" s="59">
        <f t="shared" si="32"/>
        <v>0</v>
      </c>
      <c r="P34" s="59">
        <v>5826</v>
      </c>
      <c r="Q34" s="59">
        <v>2841</v>
      </c>
      <c r="R34" s="59">
        <f t="shared" si="33"/>
        <v>1704.5999999999999</v>
      </c>
      <c r="S34" s="59"/>
      <c r="T34" s="59">
        <f>Q34*0.6</f>
        <v>1704.5999999999999</v>
      </c>
      <c r="U34" s="59"/>
      <c r="V34" s="59"/>
      <c r="W34" s="59">
        <f t="shared" si="34"/>
        <v>745.59040433840698</v>
      </c>
      <c r="X34" s="61">
        <v>10847</v>
      </c>
      <c r="Y34" s="62">
        <f t="shared" si="35"/>
        <v>0.37748344370860898</v>
      </c>
      <c r="Z34" s="59">
        <f t="shared" si="36"/>
        <v>938.93254479723396</v>
      </c>
      <c r="AA34" s="59"/>
      <c r="AB34" s="59"/>
      <c r="AC34" s="59"/>
      <c r="AD34" s="61">
        <f t="shared" si="42"/>
        <v>48962</v>
      </c>
      <c r="AE34" s="59"/>
      <c r="AF34" s="59"/>
      <c r="AG34" s="59">
        <v>8</v>
      </c>
      <c r="AH34" s="59"/>
      <c r="AI34" s="59"/>
      <c r="AJ34" s="62" t="e">
        <f>VLOOKUP(B:B,表6资金使用成效（12月30日）!B:L,11,0)</f>
        <v>#REF!</v>
      </c>
      <c r="AK34" s="59" t="e">
        <f t="shared" si="37"/>
        <v>#REF!</v>
      </c>
      <c r="AL34" s="61">
        <v>89.5</v>
      </c>
      <c r="AM34" s="59">
        <f t="shared" si="38"/>
        <v>59.455457812881299</v>
      </c>
      <c r="AN34" s="53" t="e">
        <f t="shared" si="39"/>
        <v>#REF!</v>
      </c>
      <c r="AO34" s="53" t="e">
        <f t="shared" si="19"/>
        <v>#REF!</v>
      </c>
      <c r="AP34" s="42" t="e">
        <f t="shared" si="1"/>
        <v>#REF!</v>
      </c>
      <c r="AQ34" s="59" t="e">
        <f t="shared" si="20"/>
        <v>#REF!</v>
      </c>
      <c r="AR34" s="43" t="e">
        <f t="shared" si="2"/>
        <v>#REF!</v>
      </c>
      <c r="AZ34" s="5" t="s">
        <v>96</v>
      </c>
      <c r="BA34" s="5">
        <v>4954</v>
      </c>
    </row>
    <row r="35" s="64" customFormat="1" ht="17" customHeight="1">
      <c r="A35" s="65"/>
      <c r="B35" s="66" t="s">
        <v>82</v>
      </c>
      <c r="C35" s="67">
        <v>1</v>
      </c>
      <c r="D35" s="67"/>
      <c r="E35" s="67"/>
      <c r="F35" s="67"/>
      <c r="G35" s="87">
        <f>G36+G37</f>
        <v>76855.330000000002</v>
      </c>
      <c r="H35" s="87">
        <f>H36+H37</f>
        <v>42328.014127294802</v>
      </c>
      <c r="I35" s="87">
        <f t="shared" ref="I35:O35" si="43">I36+I37</f>
        <v>1520677</v>
      </c>
      <c r="J35" s="69">
        <f t="shared" si="43"/>
        <v>1278661.6000000001</v>
      </c>
      <c r="K35" s="69">
        <f t="shared" si="43"/>
        <v>2262.1999999999998</v>
      </c>
      <c r="L35" s="69">
        <f t="shared" si="43"/>
        <v>0</v>
      </c>
      <c r="M35" s="69">
        <f t="shared" si="43"/>
        <v>57650.400000000001</v>
      </c>
      <c r="N35" s="69">
        <f t="shared" si="43"/>
        <v>778132</v>
      </c>
      <c r="O35" s="69">
        <f t="shared" si="43"/>
        <v>440617</v>
      </c>
      <c r="P35" s="69">
        <v>225041</v>
      </c>
      <c r="Q35" s="69">
        <f t="shared" ref="Q35:W35" si="44">Q36+Q37</f>
        <v>306956</v>
      </c>
      <c r="R35" s="69">
        <f t="shared" si="44"/>
        <v>304638.20000000001</v>
      </c>
      <c r="S35" s="69">
        <f t="shared" si="44"/>
        <v>0</v>
      </c>
      <c r="T35" s="69">
        <f t="shared" si="44"/>
        <v>1014.6</v>
      </c>
      <c r="U35" s="69">
        <f t="shared" si="44"/>
        <v>6565.6000000000004</v>
      </c>
      <c r="V35" s="69">
        <f t="shared" si="44"/>
        <v>297058</v>
      </c>
      <c r="W35" s="69">
        <f t="shared" si="44"/>
        <v>24965.669896842501</v>
      </c>
      <c r="X35" s="88"/>
      <c r="Y35" s="89">
        <f t="shared" ref="Y35:AI35" si="45">Y36+Y37</f>
        <v>2.9682119205298001</v>
      </c>
      <c r="Z35" s="69">
        <f t="shared" si="45"/>
        <v>7382.9748522477203</v>
      </c>
      <c r="AA35" s="69">
        <v>0</v>
      </c>
      <c r="AB35" s="69">
        <f t="shared" si="45"/>
        <v>0</v>
      </c>
      <c r="AC35" s="69">
        <f t="shared" si="45"/>
        <v>0</v>
      </c>
      <c r="AD35" s="90">
        <f t="shared" si="45"/>
        <v>1276399.3999999999</v>
      </c>
      <c r="AE35" s="69" t="e">
        <f t="shared" si="45"/>
        <v>#REF!</v>
      </c>
      <c r="AF35" s="87">
        <f t="shared" si="45"/>
        <v>0</v>
      </c>
      <c r="AG35" s="87">
        <f t="shared" si="45"/>
        <v>72</v>
      </c>
      <c r="AH35" s="87">
        <f t="shared" si="45"/>
        <v>310.273858921162</v>
      </c>
      <c r="AI35" s="69">
        <f t="shared" si="45"/>
        <v>0</v>
      </c>
      <c r="AJ35" s="89"/>
      <c r="AK35" s="69" t="e">
        <f t="shared" ref="AK35:AO35" si="46">AK36+AK37</f>
        <v>#REF!</v>
      </c>
      <c r="AL35" s="90">
        <f t="shared" si="46"/>
        <v>984.82000000000005</v>
      </c>
      <c r="AM35" s="69">
        <f t="shared" si="46"/>
        <v>654.22261411488</v>
      </c>
      <c r="AN35" s="87" t="e">
        <f t="shared" si="46"/>
        <v>#REF!</v>
      </c>
      <c r="AO35" s="87" t="e">
        <f t="shared" si="46"/>
        <v>#REF!</v>
      </c>
      <c r="AP35" s="42" t="e">
        <f t="shared" si="1"/>
        <v>#REF!</v>
      </c>
      <c r="AQ35" s="89" t="e">
        <f>AQ36+AQ37</f>
        <v>#REF!</v>
      </c>
      <c r="AR35" s="43" t="e">
        <f t="shared" si="2"/>
        <v>#REF!</v>
      </c>
      <c r="AS35" s="5"/>
      <c r="AT35" s="5"/>
      <c r="AU35" s="5"/>
      <c r="AV35" s="5"/>
      <c r="AW35" s="5"/>
      <c r="AX35" s="5"/>
      <c r="AY35" s="5"/>
      <c r="AZ35" s="5" t="s">
        <v>97</v>
      </c>
      <c r="BA35" s="5">
        <v>1627</v>
      </c>
      <c r="BB35" s="5"/>
      <c r="BC35" s="5"/>
      <c r="BD35" s="5"/>
      <c r="BE35" s="5"/>
      <c r="BF35" s="5"/>
      <c r="BG35" s="5"/>
      <c r="BH35" s="5"/>
      <c r="BI35" s="5"/>
      <c r="BJ35" s="5"/>
      <c r="BK35" s="5"/>
      <c r="BL35" s="5"/>
      <c r="BM35" s="5"/>
      <c r="BN35" s="5"/>
      <c r="BO35" s="5"/>
      <c r="BP35" s="5"/>
      <c r="BQ35" s="5"/>
      <c r="BR35" s="5"/>
      <c r="BS35" s="5"/>
      <c r="BT35" s="5"/>
      <c r="BU35" s="5"/>
      <c r="BV35" s="5"/>
      <c r="BW35" s="5"/>
    </row>
    <row r="36" ht="17" customHeight="1">
      <c r="A36" s="44"/>
      <c r="B36" s="72" t="s">
        <v>83</v>
      </c>
      <c r="C36" s="46">
        <v>2</v>
      </c>
      <c r="D36" s="46"/>
      <c r="E36" s="46"/>
      <c r="F36" s="46"/>
      <c r="G36" s="73"/>
      <c r="H36" s="73"/>
      <c r="I36" s="73"/>
      <c r="J36" s="59">
        <f t="shared" ref="J36:J48" si="47">SUM(K36:O36)</f>
        <v>0</v>
      </c>
      <c r="K36" s="59">
        <f t="shared" ref="K36:K48" si="48">IF(D36="",I36*0.2,0)</f>
        <v>0</v>
      </c>
      <c r="L36" s="59">
        <f t="shared" ref="L36:L48" si="49">IF(D36=2017,I36*0.4,0)</f>
        <v>0</v>
      </c>
      <c r="M36" s="59">
        <f t="shared" ref="M36:M48" si="50">IF(D36=2018,I36*0.6,0)</f>
        <v>0</v>
      </c>
      <c r="N36" s="59">
        <f t="shared" ref="N36:N48" si="51">IF(D36=2019,I36*0.8,0)</f>
        <v>0</v>
      </c>
      <c r="O36" s="59">
        <f t="shared" ref="O36:O48" si="52">IF(D36=2020,I36*1,0)</f>
        <v>0</v>
      </c>
      <c r="P36" s="59"/>
      <c r="Q36" s="59"/>
      <c r="R36" s="59">
        <f>N36*0.4+O36*0.6+P36*0.8+Q36*1</f>
        <v>0</v>
      </c>
      <c r="S36" s="59">
        <f>Q36-T36-U36-V36</f>
        <v>0</v>
      </c>
      <c r="T36" s="59"/>
      <c r="U36" s="59"/>
      <c r="V36" s="59"/>
      <c r="W36" s="59"/>
      <c r="X36" s="61"/>
      <c r="Y36" s="62"/>
      <c r="Z36" s="59"/>
      <c r="AA36" s="59"/>
      <c r="AB36" s="59"/>
      <c r="AC36" s="59"/>
      <c r="AD36" s="61"/>
      <c r="AE36" s="59"/>
      <c r="AF36" s="59"/>
      <c r="AG36" s="59"/>
      <c r="AH36" s="59"/>
      <c r="AI36" s="59"/>
      <c r="AJ36" s="62"/>
      <c r="AK36" s="59" t="e">
        <f>AJ36/$AJ$9*0.05*200000</f>
        <v>#REF!</v>
      </c>
      <c r="AL36" s="61"/>
      <c r="AM36" s="59">
        <f>(AL36/$AL$9)*0.05*200000</f>
        <v>0</v>
      </c>
      <c r="AN36" s="53" t="e">
        <f>ROUND(AM36+AK36+AE36+AC36+Z36+W36,0)</f>
        <v>#REF!</v>
      </c>
      <c r="AO36" s="53" t="e">
        <f t="shared" ref="AO36:AO48" si="53">AN36-G36</f>
        <v>#REF!</v>
      </c>
      <c r="AP36" s="42"/>
      <c r="AQ36" s="62" t="e">
        <f t="shared" ref="AQ36:AQ48" si="54">AN36-H36</f>
        <v>#REF!</v>
      </c>
      <c r="AR36" s="43"/>
      <c r="AZ36" s="5" t="s">
        <v>98</v>
      </c>
      <c r="BA36" s="5">
        <v>3306</v>
      </c>
    </row>
    <row r="37" s="74" customFormat="1" ht="17" customHeight="1">
      <c r="A37" s="75"/>
      <c r="B37" s="76" t="s">
        <v>76</v>
      </c>
      <c r="C37" s="77">
        <v>3</v>
      </c>
      <c r="D37" s="77"/>
      <c r="E37" s="77"/>
      <c r="F37" s="77"/>
      <c r="G37" s="91">
        <f>SUM(G38:G48)</f>
        <v>76855.330000000002</v>
      </c>
      <c r="H37" s="91">
        <f>SUM(H38:H48)</f>
        <v>42328.014127294802</v>
      </c>
      <c r="I37" s="91">
        <f t="shared" ref="I37:O37" si="55">SUM(I38:I48)</f>
        <v>1520677</v>
      </c>
      <c r="J37" s="79">
        <f t="shared" si="55"/>
        <v>1278661.6000000001</v>
      </c>
      <c r="K37" s="79">
        <f t="shared" si="55"/>
        <v>2262.1999999999998</v>
      </c>
      <c r="L37" s="79">
        <f t="shared" si="55"/>
        <v>0</v>
      </c>
      <c r="M37" s="79">
        <f t="shared" si="55"/>
        <v>57650.400000000001</v>
      </c>
      <c r="N37" s="79">
        <f t="shared" si="55"/>
        <v>778132</v>
      </c>
      <c r="O37" s="79">
        <f t="shared" si="55"/>
        <v>440617</v>
      </c>
      <c r="P37" s="79">
        <v>225041</v>
      </c>
      <c r="Q37" s="79">
        <f t="shared" ref="Q37:W37" si="56">SUM(Q38:Q48)</f>
        <v>306956</v>
      </c>
      <c r="R37" s="79">
        <f t="shared" si="56"/>
        <v>304638.20000000001</v>
      </c>
      <c r="S37" s="79">
        <f t="shared" si="56"/>
        <v>0</v>
      </c>
      <c r="T37" s="79">
        <f t="shared" si="56"/>
        <v>1014.6</v>
      </c>
      <c r="U37" s="79">
        <f t="shared" si="56"/>
        <v>6565.6000000000004</v>
      </c>
      <c r="V37" s="79">
        <f t="shared" si="56"/>
        <v>297058</v>
      </c>
      <c r="W37" s="79">
        <f t="shared" si="56"/>
        <v>24965.669896842501</v>
      </c>
      <c r="X37" s="92"/>
      <c r="Y37" s="93">
        <f t="shared" ref="Y37:AI37" si="57">SUM(Y38:Y48)</f>
        <v>2.9682119205298001</v>
      </c>
      <c r="Z37" s="79">
        <f t="shared" si="57"/>
        <v>7382.9748522477203</v>
      </c>
      <c r="AA37" s="79">
        <v>0</v>
      </c>
      <c r="AB37" s="79">
        <f t="shared" si="57"/>
        <v>0</v>
      </c>
      <c r="AC37" s="79">
        <f t="shared" si="57"/>
        <v>0</v>
      </c>
      <c r="AD37" s="94">
        <f t="shared" si="57"/>
        <v>1276399.3999999999</v>
      </c>
      <c r="AE37" s="79" t="e">
        <f t="shared" si="57"/>
        <v>#REF!</v>
      </c>
      <c r="AF37" s="91">
        <f t="shared" si="57"/>
        <v>0</v>
      </c>
      <c r="AG37" s="91">
        <f t="shared" si="57"/>
        <v>72</v>
      </c>
      <c r="AH37" s="91">
        <f t="shared" si="57"/>
        <v>310.273858921162</v>
      </c>
      <c r="AI37" s="79">
        <f t="shared" si="57"/>
        <v>0</v>
      </c>
      <c r="AJ37" s="93"/>
      <c r="AK37" s="79" t="e">
        <f t="shared" ref="AK37:AO37" si="58">SUM(AK38:AK48)</f>
        <v>#REF!</v>
      </c>
      <c r="AL37" s="94">
        <f t="shared" si="58"/>
        <v>984.82000000000005</v>
      </c>
      <c r="AM37" s="79">
        <f t="shared" si="58"/>
        <v>654.22261411488</v>
      </c>
      <c r="AN37" s="91" t="e">
        <f t="shared" si="58"/>
        <v>#REF!</v>
      </c>
      <c r="AO37" s="91" t="e">
        <f t="shared" si="58"/>
        <v>#REF!</v>
      </c>
      <c r="AP37" s="42" t="e">
        <f t="shared" si="1"/>
        <v>#REF!</v>
      </c>
      <c r="AQ37" s="93" t="e">
        <f>SUM(AQ38:AQ48)</f>
        <v>#REF!</v>
      </c>
      <c r="AR37" s="43" t="e">
        <f t="shared" si="2"/>
        <v>#REF!</v>
      </c>
      <c r="AS37" s="5"/>
      <c r="AT37" s="5"/>
      <c r="AU37" s="5"/>
      <c r="AV37" s="5"/>
      <c r="AW37" s="5"/>
      <c r="AX37" s="5"/>
      <c r="AY37" s="5"/>
      <c r="AZ37" s="5" t="s">
        <v>99</v>
      </c>
      <c r="BA37" s="5">
        <v>34255</v>
      </c>
      <c r="BB37" s="5"/>
      <c r="BC37" s="5"/>
      <c r="BD37" s="5"/>
      <c r="BE37" s="5"/>
      <c r="BF37" s="5"/>
      <c r="BG37" s="5"/>
      <c r="BH37" s="5"/>
      <c r="BI37" s="5"/>
      <c r="BJ37" s="5"/>
      <c r="BK37" s="5"/>
      <c r="BL37" s="5"/>
      <c r="BM37" s="5"/>
      <c r="BN37" s="5"/>
      <c r="BO37" s="5"/>
      <c r="BP37" s="5"/>
      <c r="BQ37" s="5"/>
      <c r="BR37" s="5"/>
      <c r="BS37" s="5"/>
      <c r="BT37" s="5"/>
      <c r="BU37" s="5"/>
      <c r="BV37" s="5"/>
      <c r="BW37" s="5"/>
    </row>
    <row r="38" ht="17" customHeight="1">
      <c r="A38" s="46">
        <v>15</v>
      </c>
      <c r="B38" s="82" t="s">
        <v>84</v>
      </c>
      <c r="C38" s="46" t="s">
        <v>93</v>
      </c>
      <c r="D38" s="46">
        <v>2019</v>
      </c>
      <c r="E38" s="46" t="s">
        <v>94</v>
      </c>
      <c r="F38" s="46"/>
      <c r="G38" s="73">
        <f t="shared" ref="G38:G48" si="59">VLOOKUP(B:B,$AZ:$BA,2,0)</f>
        <v>4664</v>
      </c>
      <c r="H38" s="73">
        <f t="shared" ref="H38:H48" si="60">G38*210000/381298.76</f>
        <v>2568.69442743533</v>
      </c>
      <c r="I38" s="73">
        <v>179608</v>
      </c>
      <c r="J38" s="59">
        <f t="shared" si="47"/>
        <v>143686.39999999999</v>
      </c>
      <c r="K38" s="59">
        <f t="shared" si="48"/>
        <v>0</v>
      </c>
      <c r="L38" s="59">
        <f t="shared" si="49"/>
        <v>0</v>
      </c>
      <c r="M38" s="59">
        <f t="shared" si="50"/>
        <v>0</v>
      </c>
      <c r="N38" s="59">
        <f t="shared" si="51"/>
        <v>143686.39999999999</v>
      </c>
      <c r="O38" s="59">
        <f t="shared" si="52"/>
        <v>0</v>
      </c>
      <c r="P38" s="59">
        <v>17619</v>
      </c>
      <c r="Q38" s="59">
        <v>34418</v>
      </c>
      <c r="R38" s="59">
        <f t="shared" ref="R38:R48" si="61">S38+T38+U38+V38</f>
        <v>34418</v>
      </c>
      <c r="S38" s="59"/>
      <c r="T38" s="59"/>
      <c r="U38" s="59"/>
      <c r="V38" s="59">
        <f t="shared" ref="V38:V47" si="62">Q38*1</f>
        <v>34418</v>
      </c>
      <c r="W38" s="59">
        <f t="shared" ref="W38:W48" si="63">(J38/$J$9*0.2+P38/$P$9*0.05+R38/$R$9*0.05)*299423</f>
        <v>2670.5834348967201</v>
      </c>
      <c r="X38" s="61">
        <v>12657</v>
      </c>
      <c r="Y38" s="62">
        <f t="shared" ref="Y38:Y48" si="64">IF(X38&lt;12842,(12842-X38)/(12842-$X$175),0)</f>
        <v>3.5004730368968798e-002</v>
      </c>
      <c r="Z38" s="59">
        <f t="shared" ref="Z38:Z48" si="65">(Y38/$Y$9*0.15)*299423</f>
        <v>87.068932725558</v>
      </c>
      <c r="AA38" s="59"/>
      <c r="AB38" s="59"/>
      <c r="AC38" s="59"/>
      <c r="AD38" s="61">
        <f t="shared" ref="AD38:AD47" si="66">J38</f>
        <v>143686.39999999999</v>
      </c>
      <c r="AE38" s="59"/>
      <c r="AF38" s="59"/>
      <c r="AG38" s="59">
        <v>8</v>
      </c>
      <c r="AH38" s="59"/>
      <c r="AI38" s="59"/>
      <c r="AJ38" s="62" t="e">
        <f>VLOOKUP(B:B,表6资金使用成效（12月30日）!B:L,11,0)</f>
        <v>#REF!</v>
      </c>
      <c r="AK38" s="59" t="e">
        <f t="shared" ref="AK38:AK48" si="67">AJ38/$AJ$9*0.025*299423</f>
        <v>#REF!</v>
      </c>
      <c r="AL38" s="61">
        <v>89.010000000000005</v>
      </c>
      <c r="AM38" s="59">
        <f t="shared" ref="AM38:AM48" si="68">(AL38/$AL$9)*0.025*299423</f>
        <v>59.129947485190698</v>
      </c>
      <c r="AN38" s="53" t="e">
        <f t="shared" ref="AN38:AN48" si="69">ROUND(AM38+AK38+AE38+AC38+Z38+W38+AI38+AF38,0)</f>
        <v>#REF!</v>
      </c>
      <c r="AO38" s="53" t="e">
        <f t="shared" si="53"/>
        <v>#REF!</v>
      </c>
      <c r="AP38" s="42" t="e">
        <f t="shared" si="1"/>
        <v>#REF!</v>
      </c>
      <c r="AQ38" s="59" t="e">
        <f t="shared" si="54"/>
        <v>#REF!</v>
      </c>
      <c r="AR38" s="43" t="e">
        <f t="shared" si="2"/>
        <v>#REF!</v>
      </c>
      <c r="AZ38" s="5" t="s">
        <v>100</v>
      </c>
      <c r="BA38" s="5">
        <v>0</v>
      </c>
    </row>
    <row r="39" ht="17" customHeight="1">
      <c r="A39" s="46">
        <v>16</v>
      </c>
      <c r="B39" s="82" t="s">
        <v>85</v>
      </c>
      <c r="C39" s="46" t="s">
        <v>93</v>
      </c>
      <c r="D39" s="46">
        <v>2019</v>
      </c>
      <c r="E39" s="46" t="s">
        <v>94</v>
      </c>
      <c r="F39" s="46"/>
      <c r="G39" s="73">
        <f t="shared" si="59"/>
        <v>4056</v>
      </c>
      <c r="H39" s="73">
        <f t="shared" si="60"/>
        <v>2233.8388931555901</v>
      </c>
      <c r="I39" s="73">
        <v>99652</v>
      </c>
      <c r="J39" s="59">
        <f t="shared" si="47"/>
        <v>79721.600000000006</v>
      </c>
      <c r="K39" s="59">
        <f t="shared" si="48"/>
        <v>0</v>
      </c>
      <c r="L39" s="59">
        <f t="shared" si="49"/>
        <v>0</v>
      </c>
      <c r="M39" s="59">
        <f t="shared" si="50"/>
        <v>0</v>
      </c>
      <c r="N39" s="59">
        <f t="shared" si="51"/>
        <v>79721.600000000006</v>
      </c>
      <c r="O39" s="59">
        <f t="shared" si="52"/>
        <v>0</v>
      </c>
      <c r="P39" s="59">
        <v>13634</v>
      </c>
      <c r="Q39" s="59">
        <v>19688</v>
      </c>
      <c r="R39" s="59">
        <f t="shared" si="61"/>
        <v>19688</v>
      </c>
      <c r="S39" s="59"/>
      <c r="T39" s="59"/>
      <c r="U39" s="59"/>
      <c r="V39" s="59">
        <f t="shared" si="62"/>
        <v>19688</v>
      </c>
      <c r="W39" s="59">
        <f t="shared" si="63"/>
        <v>1560.5915907676099</v>
      </c>
      <c r="X39" s="61">
        <v>11335</v>
      </c>
      <c r="Y39" s="62">
        <f t="shared" si="64"/>
        <v>0.28514664143803198</v>
      </c>
      <c r="Z39" s="59">
        <f t="shared" si="65"/>
        <v>709.25881955360001</v>
      </c>
      <c r="AA39" s="59"/>
      <c r="AB39" s="59"/>
      <c r="AC39" s="59"/>
      <c r="AD39" s="61">
        <f t="shared" si="66"/>
        <v>79721.600000000006</v>
      </c>
      <c r="AE39" s="59"/>
      <c r="AF39" s="59"/>
      <c r="AG39" s="59">
        <v>5</v>
      </c>
      <c r="AH39" s="59"/>
      <c r="AI39" s="59"/>
      <c r="AJ39" s="62" t="e">
        <f>VLOOKUP(B:B,表6资金使用成效（12月30日）!B:L,11,0)</f>
        <v>#REF!</v>
      </c>
      <c r="AK39" s="59" t="e">
        <f t="shared" si="67"/>
        <v>#REF!</v>
      </c>
      <c r="AL39" s="61">
        <v>90.150000000000006</v>
      </c>
      <c r="AM39" s="59">
        <f t="shared" si="68"/>
        <v>59.887257227164802</v>
      </c>
      <c r="AN39" s="53" t="e">
        <f t="shared" si="69"/>
        <v>#REF!</v>
      </c>
      <c r="AO39" s="53" t="e">
        <f t="shared" si="53"/>
        <v>#REF!</v>
      </c>
      <c r="AP39" s="42" t="e">
        <f t="shared" si="1"/>
        <v>#REF!</v>
      </c>
      <c r="AQ39" s="59" t="e">
        <f t="shared" si="54"/>
        <v>#REF!</v>
      </c>
      <c r="AR39" s="43" t="e">
        <f t="shared" si="2"/>
        <v>#REF!</v>
      </c>
      <c r="AZ39" s="5" t="s">
        <v>101</v>
      </c>
      <c r="BA39" s="5">
        <v>553</v>
      </c>
    </row>
    <row r="40" ht="17" customHeight="1">
      <c r="A40" s="46">
        <v>17</v>
      </c>
      <c r="B40" s="82" t="s">
        <v>86</v>
      </c>
      <c r="C40" s="46" t="s">
        <v>93</v>
      </c>
      <c r="D40" s="46">
        <v>2019</v>
      </c>
      <c r="E40" s="46" t="s">
        <v>94</v>
      </c>
      <c r="F40" s="46"/>
      <c r="G40" s="73">
        <f t="shared" si="59"/>
        <v>5450</v>
      </c>
      <c r="H40" s="73">
        <f t="shared" si="60"/>
        <v>3001.5833253693199</v>
      </c>
      <c r="I40" s="73">
        <v>143330</v>
      </c>
      <c r="J40" s="59">
        <f t="shared" si="47"/>
        <v>114664</v>
      </c>
      <c r="K40" s="59">
        <f t="shared" si="48"/>
        <v>0</v>
      </c>
      <c r="L40" s="59">
        <f t="shared" si="49"/>
        <v>0</v>
      </c>
      <c r="M40" s="59">
        <f t="shared" si="50"/>
        <v>0</v>
      </c>
      <c r="N40" s="59">
        <f t="shared" si="51"/>
        <v>114664</v>
      </c>
      <c r="O40" s="59">
        <f t="shared" si="52"/>
        <v>0</v>
      </c>
      <c r="P40" s="59">
        <v>21682</v>
      </c>
      <c r="Q40" s="59">
        <v>26169</v>
      </c>
      <c r="R40" s="59">
        <f t="shared" si="61"/>
        <v>26169</v>
      </c>
      <c r="S40" s="59"/>
      <c r="T40" s="59"/>
      <c r="U40" s="59"/>
      <c r="V40" s="59">
        <f t="shared" si="62"/>
        <v>26169</v>
      </c>
      <c r="W40" s="59">
        <f t="shared" si="63"/>
        <v>2247.29435788608</v>
      </c>
      <c r="X40" s="61">
        <v>11195</v>
      </c>
      <c r="Y40" s="62">
        <f t="shared" si="64"/>
        <v>0.31163670766319801</v>
      </c>
      <c r="Z40" s="59">
        <f t="shared" si="65"/>
        <v>775.14882269726502</v>
      </c>
      <c r="AA40" s="59"/>
      <c r="AB40" s="59"/>
      <c r="AC40" s="59"/>
      <c r="AD40" s="61">
        <f t="shared" si="66"/>
        <v>114664</v>
      </c>
      <c r="AE40" s="59"/>
      <c r="AF40" s="59"/>
      <c r="AG40" s="59">
        <v>6</v>
      </c>
      <c r="AH40" s="59"/>
      <c r="AI40" s="59"/>
      <c r="AJ40" s="62" t="e">
        <f>VLOOKUP(B:B,表6资金使用成效（12月30日）!B:L,11,0)</f>
        <v>#REF!</v>
      </c>
      <c r="AK40" s="59" t="e">
        <f t="shared" si="67"/>
        <v>#REF!</v>
      </c>
      <c r="AL40" s="61">
        <v>86.340000000000003</v>
      </c>
      <c r="AM40" s="59">
        <f t="shared" si="68"/>
        <v>57.356248352672303</v>
      </c>
      <c r="AN40" s="53" t="e">
        <f t="shared" si="69"/>
        <v>#REF!</v>
      </c>
      <c r="AO40" s="53" t="e">
        <f t="shared" si="53"/>
        <v>#REF!</v>
      </c>
      <c r="AP40" s="42" t="e">
        <f t="shared" si="1"/>
        <v>#REF!</v>
      </c>
      <c r="AQ40" s="59" t="e">
        <f t="shared" si="54"/>
        <v>#REF!</v>
      </c>
      <c r="AR40" s="43" t="e">
        <f t="shared" si="2"/>
        <v>#REF!</v>
      </c>
      <c r="AZ40" s="5" t="s">
        <v>102</v>
      </c>
      <c r="BA40" s="5">
        <v>2441</v>
      </c>
    </row>
    <row r="41" ht="17" customHeight="1">
      <c r="A41" s="46">
        <v>18</v>
      </c>
      <c r="B41" s="82" t="s">
        <v>87</v>
      </c>
      <c r="C41" s="46" t="s">
        <v>90</v>
      </c>
      <c r="D41" s="46">
        <v>2019</v>
      </c>
      <c r="E41" s="46" t="s">
        <v>94</v>
      </c>
      <c r="F41" s="46"/>
      <c r="G41" s="73">
        <f t="shared" si="59"/>
        <v>3486</v>
      </c>
      <c r="H41" s="73">
        <f t="shared" si="60"/>
        <v>1919.9118297683401</v>
      </c>
      <c r="I41" s="73">
        <v>93810</v>
      </c>
      <c r="J41" s="59">
        <f t="shared" si="47"/>
        <v>75048</v>
      </c>
      <c r="K41" s="59">
        <f t="shared" si="48"/>
        <v>0</v>
      </c>
      <c r="L41" s="59">
        <f t="shared" si="49"/>
        <v>0</v>
      </c>
      <c r="M41" s="59">
        <f t="shared" si="50"/>
        <v>0</v>
      </c>
      <c r="N41" s="59">
        <f t="shared" si="51"/>
        <v>75048</v>
      </c>
      <c r="O41" s="59">
        <f t="shared" si="52"/>
        <v>0</v>
      </c>
      <c r="P41" s="59">
        <v>12223</v>
      </c>
      <c r="Q41" s="59">
        <v>28774</v>
      </c>
      <c r="R41" s="59">
        <f t="shared" si="61"/>
        <v>28774</v>
      </c>
      <c r="S41" s="59"/>
      <c r="T41" s="59"/>
      <c r="U41" s="59"/>
      <c r="V41" s="59">
        <f t="shared" si="62"/>
        <v>28774</v>
      </c>
      <c r="W41" s="59">
        <f t="shared" si="63"/>
        <v>1622.8249769230899</v>
      </c>
      <c r="X41" s="61">
        <v>11357</v>
      </c>
      <c r="Y41" s="62">
        <f t="shared" si="64"/>
        <v>0.28098391674550599</v>
      </c>
      <c r="Z41" s="59">
        <f t="shared" si="65"/>
        <v>698.90467620245204</v>
      </c>
      <c r="AA41" s="59"/>
      <c r="AB41" s="59"/>
      <c r="AC41" s="59"/>
      <c r="AD41" s="61">
        <f t="shared" si="66"/>
        <v>75048</v>
      </c>
      <c r="AE41" s="59"/>
      <c r="AF41" s="59"/>
      <c r="AG41" s="59">
        <v>7</v>
      </c>
      <c r="AH41" s="59"/>
      <c r="AI41" s="59"/>
      <c r="AJ41" s="62" t="e">
        <f>VLOOKUP(B:B,表6资金使用成效（12月30日）!B:L,11,0)</f>
        <v>#REF!</v>
      </c>
      <c r="AK41" s="59" t="e">
        <f t="shared" si="67"/>
        <v>#REF!</v>
      </c>
      <c r="AL41" s="61">
        <v>90.260000000000005</v>
      </c>
      <c r="AM41" s="59">
        <f t="shared" si="68"/>
        <v>59.960330974197397</v>
      </c>
      <c r="AN41" s="53" t="e">
        <f t="shared" si="69"/>
        <v>#REF!</v>
      </c>
      <c r="AO41" s="53" t="e">
        <f t="shared" si="53"/>
        <v>#REF!</v>
      </c>
      <c r="AP41" s="42" t="e">
        <f t="shared" si="1"/>
        <v>#REF!</v>
      </c>
      <c r="AQ41" s="59" t="e">
        <f t="shared" si="54"/>
        <v>#REF!</v>
      </c>
      <c r="AR41" s="43" t="e">
        <f t="shared" si="2"/>
        <v>#REF!</v>
      </c>
      <c r="AZ41" s="5" t="s">
        <v>103</v>
      </c>
      <c r="BA41" s="5">
        <v>1192</v>
      </c>
    </row>
    <row r="42" ht="17" customHeight="1">
      <c r="A42" s="46">
        <v>19</v>
      </c>
      <c r="B42" s="82" t="s">
        <v>88</v>
      </c>
      <c r="C42" s="46" t="s">
        <v>93</v>
      </c>
      <c r="D42" s="46">
        <v>2019</v>
      </c>
      <c r="E42" s="46" t="s">
        <v>94</v>
      </c>
      <c r="F42" s="46"/>
      <c r="G42" s="73">
        <f t="shared" si="59"/>
        <v>5185</v>
      </c>
      <c r="H42" s="73">
        <f t="shared" si="60"/>
        <v>2855.6347783559499</v>
      </c>
      <c r="I42" s="73">
        <v>97140</v>
      </c>
      <c r="J42" s="59">
        <f t="shared" si="47"/>
        <v>77712</v>
      </c>
      <c r="K42" s="59">
        <f t="shared" si="48"/>
        <v>0</v>
      </c>
      <c r="L42" s="59">
        <f t="shared" si="49"/>
        <v>0</v>
      </c>
      <c r="M42" s="59">
        <f t="shared" si="50"/>
        <v>0</v>
      </c>
      <c r="N42" s="59">
        <f t="shared" si="51"/>
        <v>77712</v>
      </c>
      <c r="O42" s="59">
        <f t="shared" si="52"/>
        <v>0</v>
      </c>
      <c r="P42" s="59">
        <v>18808</v>
      </c>
      <c r="Q42" s="59">
        <v>29592</v>
      </c>
      <c r="R42" s="59">
        <f t="shared" si="61"/>
        <v>29592</v>
      </c>
      <c r="S42" s="59"/>
      <c r="T42" s="59"/>
      <c r="U42" s="59"/>
      <c r="V42" s="59">
        <f t="shared" si="62"/>
        <v>29592</v>
      </c>
      <c r="W42" s="59">
        <f t="shared" si="63"/>
        <v>1787.7173958890501</v>
      </c>
      <c r="X42" s="61">
        <v>10738</v>
      </c>
      <c r="Y42" s="62">
        <f t="shared" si="64"/>
        <v>0.39810785241248797</v>
      </c>
      <c r="Z42" s="59">
        <f t="shared" si="65"/>
        <v>990.23261867337305</v>
      </c>
      <c r="AA42" s="59"/>
      <c r="AB42" s="59"/>
      <c r="AC42" s="59"/>
      <c r="AD42" s="61">
        <f t="shared" si="66"/>
        <v>77712</v>
      </c>
      <c r="AE42" s="59"/>
      <c r="AF42" s="59"/>
      <c r="AG42" s="59">
        <v>6</v>
      </c>
      <c r="AH42" s="59"/>
      <c r="AI42" s="59"/>
      <c r="AJ42" s="62" t="e">
        <f>VLOOKUP(B:B,表6资金使用成效（12月30日）!B:L,11,0)</f>
        <v>#REF!</v>
      </c>
      <c r="AK42" s="59" t="e">
        <f t="shared" si="67"/>
        <v>#REF!</v>
      </c>
      <c r="AL42" s="61">
        <v>94.049999999999997</v>
      </c>
      <c r="AM42" s="59">
        <f t="shared" si="68"/>
        <v>62.478053712865801</v>
      </c>
      <c r="AN42" s="53" t="e">
        <f t="shared" si="69"/>
        <v>#REF!</v>
      </c>
      <c r="AO42" s="53" t="e">
        <f t="shared" si="53"/>
        <v>#REF!</v>
      </c>
      <c r="AP42" s="42" t="e">
        <f t="shared" si="1"/>
        <v>#REF!</v>
      </c>
      <c r="AQ42" s="59" t="e">
        <f t="shared" si="54"/>
        <v>#REF!</v>
      </c>
      <c r="AR42" s="43" t="e">
        <f t="shared" si="2"/>
        <v>#REF!</v>
      </c>
      <c r="AZ42" s="5" t="s">
        <v>104</v>
      </c>
      <c r="BA42" s="5">
        <v>2632</v>
      </c>
    </row>
    <row r="43" ht="17" customHeight="1">
      <c r="A43" s="46">
        <v>20</v>
      </c>
      <c r="B43" s="82" t="s">
        <v>89</v>
      </c>
      <c r="C43" s="46" t="s">
        <v>93</v>
      </c>
      <c r="D43" s="46">
        <v>2019</v>
      </c>
      <c r="E43" s="46" t="s">
        <v>94</v>
      </c>
      <c r="F43" s="46"/>
      <c r="G43" s="73">
        <f t="shared" si="59"/>
        <v>5180</v>
      </c>
      <c r="H43" s="73">
        <f t="shared" si="60"/>
        <v>2852.88103218589</v>
      </c>
      <c r="I43" s="73">
        <v>148787</v>
      </c>
      <c r="J43" s="59">
        <f t="shared" si="47"/>
        <v>119029.60000000001</v>
      </c>
      <c r="K43" s="59">
        <f t="shared" si="48"/>
        <v>0</v>
      </c>
      <c r="L43" s="59">
        <f t="shared" si="49"/>
        <v>0</v>
      </c>
      <c r="M43" s="59">
        <f t="shared" si="50"/>
        <v>0</v>
      </c>
      <c r="N43" s="59">
        <f t="shared" si="51"/>
        <v>119029.60000000001</v>
      </c>
      <c r="O43" s="59">
        <f t="shared" si="52"/>
        <v>0</v>
      </c>
      <c r="P43" s="59">
        <v>23938</v>
      </c>
      <c r="Q43" s="59">
        <v>40191</v>
      </c>
      <c r="R43" s="59">
        <f t="shared" si="61"/>
        <v>40191</v>
      </c>
      <c r="S43" s="59"/>
      <c r="T43" s="59"/>
      <c r="U43" s="59"/>
      <c r="V43" s="59">
        <f t="shared" si="62"/>
        <v>40191</v>
      </c>
      <c r="W43" s="59">
        <f t="shared" si="63"/>
        <v>2568.08856510943</v>
      </c>
      <c r="X43" s="61">
        <v>11148</v>
      </c>
      <c r="Y43" s="62">
        <f t="shared" si="64"/>
        <v>0.32052980132450298</v>
      </c>
      <c r="Z43" s="59">
        <f t="shared" si="65"/>
        <v>797.26903803835296</v>
      </c>
      <c r="AA43" s="59"/>
      <c r="AB43" s="59"/>
      <c r="AC43" s="59"/>
      <c r="AD43" s="61">
        <f t="shared" si="66"/>
        <v>119029.60000000001</v>
      </c>
      <c r="AE43" s="59"/>
      <c r="AF43" s="59"/>
      <c r="AG43" s="59">
        <v>6</v>
      </c>
      <c r="AH43" s="59"/>
      <c r="AI43" s="59"/>
      <c r="AJ43" s="62" t="e">
        <f>VLOOKUP(B:B,表6资金使用成效（12月30日）!B:L,11,0)</f>
        <v>#REF!</v>
      </c>
      <c r="AK43" s="59" t="e">
        <f t="shared" si="67"/>
        <v>#REF!</v>
      </c>
      <c r="AL43" s="61">
        <v>84.670000000000002</v>
      </c>
      <c r="AM43" s="59">
        <f t="shared" si="68"/>
        <v>56.246856011359398</v>
      </c>
      <c r="AN43" s="53" t="e">
        <f t="shared" si="69"/>
        <v>#REF!</v>
      </c>
      <c r="AO43" s="53" t="e">
        <f t="shared" si="53"/>
        <v>#REF!</v>
      </c>
      <c r="AP43" s="42" t="e">
        <f t="shared" si="1"/>
        <v>#REF!</v>
      </c>
      <c r="AQ43" s="59" t="e">
        <f t="shared" si="54"/>
        <v>#REF!</v>
      </c>
      <c r="AR43" s="43" t="e">
        <f t="shared" si="2"/>
        <v>#REF!</v>
      </c>
      <c r="AZ43" s="5" t="s">
        <v>105</v>
      </c>
      <c r="BA43" s="5">
        <v>289</v>
      </c>
    </row>
    <row r="44" ht="17" customHeight="1">
      <c r="A44" s="46">
        <v>21</v>
      </c>
      <c r="B44" s="82" t="s">
        <v>92</v>
      </c>
      <c r="C44" s="46" t="s">
        <v>90</v>
      </c>
      <c r="D44" s="46">
        <v>2018</v>
      </c>
      <c r="E44" s="46" t="s">
        <v>91</v>
      </c>
      <c r="F44" s="46"/>
      <c r="G44" s="73">
        <f t="shared" si="59"/>
        <v>5145</v>
      </c>
      <c r="H44" s="73">
        <f t="shared" si="60"/>
        <v>2833.6048089954402</v>
      </c>
      <c r="I44" s="73">
        <v>39345</v>
      </c>
      <c r="J44" s="59">
        <f t="shared" si="47"/>
        <v>23607</v>
      </c>
      <c r="K44" s="59">
        <f t="shared" si="48"/>
        <v>0</v>
      </c>
      <c r="L44" s="59">
        <f t="shared" si="49"/>
        <v>0</v>
      </c>
      <c r="M44" s="59">
        <f t="shared" si="50"/>
        <v>23607</v>
      </c>
      <c r="N44" s="59">
        <f t="shared" si="51"/>
        <v>0</v>
      </c>
      <c r="O44" s="59">
        <f t="shared" si="52"/>
        <v>0</v>
      </c>
      <c r="P44" s="59">
        <v>8040</v>
      </c>
      <c r="Q44" s="59">
        <v>8207</v>
      </c>
      <c r="R44" s="59">
        <f t="shared" si="61"/>
        <v>6565.6000000000004</v>
      </c>
      <c r="S44" s="59"/>
      <c r="T44" s="59"/>
      <c r="U44" s="59">
        <f>Q44*0.8</f>
        <v>6565.6000000000004</v>
      </c>
      <c r="V44" s="59"/>
      <c r="W44" s="59">
        <f t="shared" si="63"/>
        <v>545.89583429235904</v>
      </c>
      <c r="X44" s="61">
        <v>11305</v>
      </c>
      <c r="Y44" s="62">
        <f t="shared" si="64"/>
        <v>0.29082308420056802</v>
      </c>
      <c r="Z44" s="59">
        <f t="shared" si="65"/>
        <v>723.37810594152802</v>
      </c>
      <c r="AA44" s="59"/>
      <c r="AB44" s="59"/>
      <c r="AC44" s="59"/>
      <c r="AD44" s="61">
        <f t="shared" si="66"/>
        <v>23607</v>
      </c>
      <c r="AE44" s="59" t="e">
        <f t="shared" ref="AE44:AE45" si="70">H44-W44-Z44-AC44-AK44-AM44</f>
        <v>#REF!</v>
      </c>
      <c r="AF44" s="59"/>
      <c r="AG44" s="59">
        <v>5</v>
      </c>
      <c r="AH44" s="59"/>
      <c r="AI44" s="59"/>
      <c r="AJ44" s="62" t="e">
        <f>VLOOKUP(B:B,表6资金使用成效（12月30日）!B:L,11,0)</f>
        <v>#REF!</v>
      </c>
      <c r="AK44" s="59" t="e">
        <f t="shared" si="67"/>
        <v>#REF!</v>
      </c>
      <c r="AL44" s="61">
        <v>94.930000000000007</v>
      </c>
      <c r="AM44" s="59">
        <f t="shared" si="68"/>
        <v>63.062643689126503</v>
      </c>
      <c r="AN44" s="53" t="e">
        <f t="shared" si="69"/>
        <v>#REF!</v>
      </c>
      <c r="AO44" s="53" t="e">
        <f t="shared" si="53"/>
        <v>#REF!</v>
      </c>
      <c r="AP44" s="42" t="e">
        <f t="shared" si="1"/>
        <v>#REF!</v>
      </c>
      <c r="AQ44" s="59" t="e">
        <f t="shared" si="54"/>
        <v>#REF!</v>
      </c>
      <c r="AR44" s="43" t="e">
        <f t="shared" si="2"/>
        <v>#REF!</v>
      </c>
      <c r="AZ44" s="5" t="s">
        <v>106</v>
      </c>
      <c r="BA44" s="5">
        <v>1347</v>
      </c>
    </row>
    <row r="45" s="5" customFormat="1" ht="17" customHeight="1">
      <c r="A45" s="46">
        <v>22</v>
      </c>
      <c r="B45" s="82" t="s">
        <v>95</v>
      </c>
      <c r="C45" s="46" t="s">
        <v>93</v>
      </c>
      <c r="D45" s="46">
        <v>2020</v>
      </c>
      <c r="E45" s="46" t="s">
        <v>94</v>
      </c>
      <c r="F45" s="46"/>
      <c r="G45" s="73">
        <f t="shared" si="59"/>
        <v>33802.330000000002</v>
      </c>
      <c r="H45" s="73">
        <f t="shared" si="60"/>
        <v>18616.607355345201</v>
      </c>
      <c r="I45" s="73">
        <v>440617</v>
      </c>
      <c r="J45" s="59">
        <f t="shared" si="47"/>
        <v>440617</v>
      </c>
      <c r="K45" s="59">
        <f t="shared" si="48"/>
        <v>0</v>
      </c>
      <c r="L45" s="59">
        <f t="shared" si="49"/>
        <v>0</v>
      </c>
      <c r="M45" s="59">
        <f t="shared" si="50"/>
        <v>0</v>
      </c>
      <c r="N45" s="59">
        <f t="shared" si="51"/>
        <v>0</v>
      </c>
      <c r="O45" s="59">
        <f t="shared" si="52"/>
        <v>440617</v>
      </c>
      <c r="P45" s="59">
        <v>68029</v>
      </c>
      <c r="Q45" s="59">
        <v>57501</v>
      </c>
      <c r="R45" s="59">
        <f t="shared" si="61"/>
        <v>57501</v>
      </c>
      <c r="S45" s="59"/>
      <c r="T45" s="59"/>
      <c r="U45" s="59"/>
      <c r="V45" s="59">
        <f t="shared" si="62"/>
        <v>57501</v>
      </c>
      <c r="W45" s="59">
        <f t="shared" si="63"/>
        <v>7668.2489517591603</v>
      </c>
      <c r="X45" s="61">
        <v>11490</v>
      </c>
      <c r="Y45" s="62">
        <f t="shared" si="64"/>
        <v>0.25581835383159901</v>
      </c>
      <c r="Z45" s="59">
        <f t="shared" si="65"/>
        <v>636.30917321596996</v>
      </c>
      <c r="AA45" s="59"/>
      <c r="AB45" s="59"/>
      <c r="AC45" s="59"/>
      <c r="AD45" s="61">
        <f t="shared" si="66"/>
        <v>440617</v>
      </c>
      <c r="AE45" s="59" t="e">
        <f t="shared" si="70"/>
        <v>#REF!</v>
      </c>
      <c r="AF45" s="59"/>
      <c r="AG45" s="59">
        <v>10</v>
      </c>
      <c r="AH45" s="59"/>
      <c r="AI45" s="59"/>
      <c r="AJ45" s="62" t="e">
        <f>VLOOKUP(B:B,表6资金使用成效（12月30日）!B:L,11,0)</f>
        <v>#REF!</v>
      </c>
      <c r="AK45" s="59" t="e">
        <f t="shared" si="67"/>
        <v>#REF!</v>
      </c>
      <c r="AL45" s="61">
        <v>92.079999999999998</v>
      </c>
      <c r="AM45" s="59">
        <f t="shared" si="68"/>
        <v>61.169369334191202</v>
      </c>
      <c r="AN45" s="53" t="e">
        <f t="shared" si="69"/>
        <v>#REF!</v>
      </c>
      <c r="AO45" s="53" t="e">
        <f t="shared" si="53"/>
        <v>#REF!</v>
      </c>
      <c r="AP45" s="83" t="e">
        <f t="shared" si="1"/>
        <v>#REF!</v>
      </c>
      <c r="AQ45" s="59" t="e">
        <f t="shared" si="54"/>
        <v>#REF!</v>
      </c>
      <c r="AR45" s="43" t="e">
        <f t="shared" si="2"/>
        <v>#REF!</v>
      </c>
      <c r="AZ45" s="5" t="s">
        <v>107</v>
      </c>
      <c r="BA45" s="5">
        <v>19905</v>
      </c>
    </row>
    <row r="46" ht="17" customHeight="1">
      <c r="A46" s="46">
        <v>23</v>
      </c>
      <c r="B46" s="82" t="s">
        <v>96</v>
      </c>
      <c r="C46" s="46" t="s">
        <v>93</v>
      </c>
      <c r="D46" s="46">
        <v>2019</v>
      </c>
      <c r="E46" s="46" t="s">
        <v>94</v>
      </c>
      <c r="F46" s="46"/>
      <c r="G46" s="73">
        <f t="shared" si="59"/>
        <v>4954</v>
      </c>
      <c r="H46" s="73">
        <f t="shared" si="60"/>
        <v>2728.41170529902</v>
      </c>
      <c r="I46" s="73">
        <v>210338</v>
      </c>
      <c r="J46" s="59">
        <f t="shared" si="47"/>
        <v>168270.39999999999</v>
      </c>
      <c r="K46" s="59">
        <f t="shared" si="48"/>
        <v>0</v>
      </c>
      <c r="L46" s="59">
        <f t="shared" si="49"/>
        <v>0</v>
      </c>
      <c r="M46" s="59">
        <f t="shared" si="50"/>
        <v>0</v>
      </c>
      <c r="N46" s="59">
        <f t="shared" si="51"/>
        <v>168270.39999999999</v>
      </c>
      <c r="O46" s="59">
        <f t="shared" si="52"/>
        <v>0</v>
      </c>
      <c r="P46" s="59">
        <v>31481</v>
      </c>
      <c r="Q46" s="59">
        <v>44470</v>
      </c>
      <c r="R46" s="59">
        <f t="shared" si="61"/>
        <v>44470</v>
      </c>
      <c r="S46" s="59"/>
      <c r="T46" s="59"/>
      <c r="U46" s="59"/>
      <c r="V46" s="59">
        <f t="shared" si="62"/>
        <v>44470</v>
      </c>
      <c r="W46" s="59">
        <f t="shared" si="63"/>
        <v>3389.4429142858298</v>
      </c>
      <c r="X46" s="61">
        <v>10467</v>
      </c>
      <c r="Y46" s="62">
        <f t="shared" si="64"/>
        <v>0.44938505203405898</v>
      </c>
      <c r="Z46" s="59">
        <f t="shared" si="65"/>
        <v>1117.77683904433</v>
      </c>
      <c r="AA46" s="59"/>
      <c r="AB46" s="59"/>
      <c r="AC46" s="59"/>
      <c r="AD46" s="61">
        <f t="shared" si="66"/>
        <v>168270.39999999999</v>
      </c>
      <c r="AE46" s="59"/>
      <c r="AF46" s="59"/>
      <c r="AG46" s="59">
        <v>4</v>
      </c>
      <c r="AH46" s="59"/>
      <c r="AI46" s="59"/>
      <c r="AJ46" s="62" t="e">
        <f>VLOOKUP(B:B,表6资金使用成效（12月30日）!B:L,11,0)</f>
        <v>#REF!</v>
      </c>
      <c r="AK46" s="59" t="e">
        <f t="shared" si="67"/>
        <v>#REF!</v>
      </c>
      <c r="AL46" s="61">
        <v>79.680000000000007</v>
      </c>
      <c r="AM46" s="59">
        <f t="shared" si="68"/>
        <v>52.931965123244503</v>
      </c>
      <c r="AN46" s="53" t="e">
        <f t="shared" si="69"/>
        <v>#REF!</v>
      </c>
      <c r="AO46" s="53" t="e">
        <f t="shared" si="53"/>
        <v>#REF!</v>
      </c>
      <c r="AP46" s="42" t="e">
        <f t="shared" si="1"/>
        <v>#REF!</v>
      </c>
      <c r="AQ46" s="59" t="e">
        <f t="shared" si="54"/>
        <v>#REF!</v>
      </c>
      <c r="AR46" s="43" t="e">
        <f t="shared" si="2"/>
        <v>#REF!</v>
      </c>
      <c r="AZ46" s="5" t="s">
        <v>108</v>
      </c>
      <c r="BA46" s="5">
        <v>968</v>
      </c>
    </row>
    <row r="47" ht="17" customHeight="1">
      <c r="A47" s="46">
        <v>24</v>
      </c>
      <c r="B47" s="82" t="s">
        <v>97</v>
      </c>
      <c r="C47" s="46" t="s">
        <v>90</v>
      </c>
      <c r="D47" s="46">
        <v>2018</v>
      </c>
      <c r="E47" s="46" t="s">
        <v>91</v>
      </c>
      <c r="F47" s="46"/>
      <c r="G47" s="73">
        <f t="shared" si="59"/>
        <v>1627</v>
      </c>
      <c r="H47" s="73">
        <f t="shared" si="60"/>
        <v>896.06900373869598</v>
      </c>
      <c r="I47" s="73">
        <v>56739</v>
      </c>
      <c r="J47" s="59">
        <f t="shared" si="47"/>
        <v>34043.400000000001</v>
      </c>
      <c r="K47" s="59">
        <f t="shared" si="48"/>
        <v>0</v>
      </c>
      <c r="L47" s="59">
        <f t="shared" si="49"/>
        <v>0</v>
      </c>
      <c r="M47" s="59">
        <f t="shared" si="50"/>
        <v>34043.400000000001</v>
      </c>
      <c r="N47" s="59">
        <f t="shared" si="51"/>
        <v>0</v>
      </c>
      <c r="O47" s="59">
        <f t="shared" si="52"/>
        <v>0</v>
      </c>
      <c r="P47" s="59">
        <v>9191</v>
      </c>
      <c r="Q47" s="59">
        <v>16255</v>
      </c>
      <c r="R47" s="59">
        <f t="shared" si="61"/>
        <v>16255</v>
      </c>
      <c r="S47" s="59"/>
      <c r="T47" s="59"/>
      <c r="U47" s="59"/>
      <c r="V47" s="59">
        <f t="shared" si="62"/>
        <v>16255</v>
      </c>
      <c r="W47" s="59">
        <f t="shared" si="63"/>
        <v>853.20051133942002</v>
      </c>
      <c r="X47" s="61">
        <v>11041</v>
      </c>
      <c r="Y47" s="62">
        <f t="shared" si="64"/>
        <v>0.34077578051087998</v>
      </c>
      <c r="Z47" s="59">
        <f t="shared" si="65"/>
        <v>847.62782615529704</v>
      </c>
      <c r="AA47" s="59"/>
      <c r="AB47" s="59"/>
      <c r="AC47" s="59"/>
      <c r="AD47" s="61">
        <f t="shared" si="66"/>
        <v>34043.400000000001</v>
      </c>
      <c r="AE47" s="59"/>
      <c r="AF47" s="59"/>
      <c r="AG47" s="59">
        <v>7</v>
      </c>
      <c r="AH47" s="59"/>
      <c r="AI47" s="59"/>
      <c r="AJ47" s="62" t="e">
        <f>VLOOKUP(B:B,表6资金使用成效（12月30日）!B:L,11,0)</f>
        <v>#REF!</v>
      </c>
      <c r="AK47" s="59" t="e">
        <f t="shared" si="67"/>
        <v>#REF!</v>
      </c>
      <c r="AL47" s="61">
        <v>91.769999999999996</v>
      </c>
      <c r="AM47" s="59">
        <f t="shared" si="68"/>
        <v>60.9634342289175</v>
      </c>
      <c r="AN47" s="53" t="e">
        <f t="shared" si="69"/>
        <v>#REF!</v>
      </c>
      <c r="AO47" s="53" t="e">
        <f t="shared" si="53"/>
        <v>#REF!</v>
      </c>
      <c r="AP47" s="42" t="e">
        <f t="shared" si="1"/>
        <v>#REF!</v>
      </c>
      <c r="AQ47" s="59" t="e">
        <f t="shared" si="54"/>
        <v>#REF!</v>
      </c>
      <c r="AR47" s="43" t="e">
        <f t="shared" si="2"/>
        <v>#REF!</v>
      </c>
      <c r="AZ47" s="5" t="s">
        <v>109</v>
      </c>
      <c r="BA47" s="5">
        <v>4928</v>
      </c>
    </row>
    <row r="48" ht="17" customHeight="1">
      <c r="A48" s="46">
        <v>25</v>
      </c>
      <c r="B48" s="82" t="s">
        <v>98</v>
      </c>
      <c r="C48" s="46" t="s">
        <v>78</v>
      </c>
      <c r="D48" s="46"/>
      <c r="E48" s="46"/>
      <c r="F48" s="46"/>
      <c r="G48" s="73">
        <f t="shared" si="59"/>
        <v>3306</v>
      </c>
      <c r="H48" s="73">
        <f t="shared" si="60"/>
        <v>1820.77696764605</v>
      </c>
      <c r="I48" s="73">
        <v>11311</v>
      </c>
      <c r="J48" s="59">
        <f t="shared" si="47"/>
        <v>2262.1999999999998</v>
      </c>
      <c r="K48" s="59">
        <f t="shared" si="48"/>
        <v>2262.1999999999998</v>
      </c>
      <c r="L48" s="59">
        <f t="shared" si="49"/>
        <v>0</v>
      </c>
      <c r="M48" s="59">
        <f t="shared" si="50"/>
        <v>0</v>
      </c>
      <c r="N48" s="59">
        <f t="shared" si="51"/>
        <v>0</v>
      </c>
      <c r="O48" s="59">
        <f t="shared" si="52"/>
        <v>0</v>
      </c>
      <c r="P48" s="59">
        <v>396</v>
      </c>
      <c r="Q48" s="59">
        <v>1691</v>
      </c>
      <c r="R48" s="59">
        <f t="shared" si="61"/>
        <v>1014.6</v>
      </c>
      <c r="S48" s="59"/>
      <c r="T48" s="59">
        <f>Q48*0.6</f>
        <v>1014.6</v>
      </c>
      <c r="U48" s="59"/>
      <c r="V48" s="59"/>
      <c r="W48" s="59">
        <f t="shared" si="63"/>
        <v>51.781363693798099</v>
      </c>
      <c r="X48" s="61">
        <v>13022</v>
      </c>
      <c r="Y48" s="62">
        <f t="shared" si="64"/>
        <v>0</v>
      </c>
      <c r="Z48" s="59">
        <f t="shared" si="65"/>
        <v>0</v>
      </c>
      <c r="AA48" s="59"/>
      <c r="AB48" s="59"/>
      <c r="AC48" s="59"/>
      <c r="AD48" s="61"/>
      <c r="AE48" s="59">
        <f>AD48/$AD$9*71500</f>
        <v>0</v>
      </c>
      <c r="AF48" s="59"/>
      <c r="AG48" s="59">
        <v>8</v>
      </c>
      <c r="AH48" s="59">
        <f>AG48/$AG$13*9347</f>
        <v>310.273858921162</v>
      </c>
      <c r="AI48" s="59"/>
      <c r="AJ48" s="62" t="e">
        <f>VLOOKUP(B:B,表6资金使用成效（12月30日）!B:L,11,0)</f>
        <v>#REF!</v>
      </c>
      <c r="AK48" s="59" t="e">
        <f t="shared" si="67"/>
        <v>#REF!</v>
      </c>
      <c r="AL48" s="61">
        <v>91.879999999999995</v>
      </c>
      <c r="AM48" s="59">
        <f t="shared" si="68"/>
        <v>61.036507975950101</v>
      </c>
      <c r="AN48" s="53" t="e">
        <f t="shared" si="69"/>
        <v>#REF!</v>
      </c>
      <c r="AO48" s="53" t="e">
        <f t="shared" si="53"/>
        <v>#REF!</v>
      </c>
      <c r="AP48" s="42" t="e">
        <f t="shared" si="1"/>
        <v>#REF!</v>
      </c>
      <c r="AQ48" s="59" t="e">
        <f t="shared" si="54"/>
        <v>#REF!</v>
      </c>
      <c r="AR48" s="43" t="e">
        <f t="shared" si="2"/>
        <v>#REF!</v>
      </c>
      <c r="AZ48" s="5" t="s">
        <v>110</v>
      </c>
      <c r="BA48" s="5">
        <v>13391</v>
      </c>
    </row>
    <row r="49" s="64" customFormat="1" ht="17" customHeight="1">
      <c r="A49" s="65"/>
      <c r="B49" s="66" t="s">
        <v>99</v>
      </c>
      <c r="C49" s="67">
        <v>1</v>
      </c>
      <c r="D49" s="67"/>
      <c r="E49" s="67"/>
      <c r="F49" s="67"/>
      <c r="G49" s="87">
        <f>G50+G51</f>
        <v>34255</v>
      </c>
      <c r="H49" s="87">
        <f>H50+H51</f>
        <v>18865.915011105699</v>
      </c>
      <c r="I49" s="87">
        <f t="shared" ref="I49:O49" si="71">I50+I51</f>
        <v>740646</v>
      </c>
      <c r="J49" s="69">
        <f t="shared" si="71"/>
        <v>561552.80000000005</v>
      </c>
      <c r="K49" s="69">
        <f t="shared" si="71"/>
        <v>15699.799999999999</v>
      </c>
      <c r="L49" s="69">
        <f t="shared" si="71"/>
        <v>14656</v>
      </c>
      <c r="M49" s="69">
        <f t="shared" si="71"/>
        <v>96456</v>
      </c>
      <c r="N49" s="69">
        <f t="shared" si="71"/>
        <v>120024</v>
      </c>
      <c r="O49" s="69">
        <f t="shared" si="71"/>
        <v>314717</v>
      </c>
      <c r="P49" s="87">
        <v>86982</v>
      </c>
      <c r="Q49" s="69">
        <f t="shared" ref="Q49:W49" si="72">Q50+Q51</f>
        <v>156823</v>
      </c>
      <c r="R49" s="69">
        <f t="shared" si="72"/>
        <v>151584.79999999999</v>
      </c>
      <c r="S49" s="69">
        <f t="shared" si="72"/>
        <v>859.60000000000002</v>
      </c>
      <c r="T49" s="69">
        <f t="shared" si="72"/>
        <v>0</v>
      </c>
      <c r="U49" s="69">
        <f t="shared" si="72"/>
        <v>15795.200000000001</v>
      </c>
      <c r="V49" s="69">
        <f t="shared" si="72"/>
        <v>134930</v>
      </c>
      <c r="W49" s="90">
        <f t="shared" si="72"/>
        <v>11037.5031051189</v>
      </c>
      <c r="X49" s="88"/>
      <c r="Y49" s="89">
        <f t="shared" ref="Y49:AI49" si="73">Y50+Y51</f>
        <v>0.102932828760643</v>
      </c>
      <c r="Z49" s="90">
        <f t="shared" si="73"/>
        <v>256.02972650110001</v>
      </c>
      <c r="AA49" s="90">
        <v>0</v>
      </c>
      <c r="AB49" s="90">
        <f t="shared" si="73"/>
        <v>0</v>
      </c>
      <c r="AC49" s="90">
        <f t="shared" si="73"/>
        <v>0</v>
      </c>
      <c r="AD49" s="90">
        <f t="shared" si="73"/>
        <v>492518</v>
      </c>
      <c r="AE49" s="90" t="e">
        <f t="shared" si="73"/>
        <v>#REF!</v>
      </c>
      <c r="AF49" s="87">
        <f t="shared" si="73"/>
        <v>0</v>
      </c>
      <c r="AG49" s="87">
        <f t="shared" si="73"/>
        <v>72</v>
      </c>
      <c r="AH49" s="87">
        <f t="shared" si="73"/>
        <v>1241.0954356846501</v>
      </c>
      <c r="AI49" s="90">
        <f t="shared" si="73"/>
        <v>0</v>
      </c>
      <c r="AJ49" s="89"/>
      <c r="AK49" s="90" t="e">
        <f t="shared" ref="AK49:AO49" si="74">AK50+AK51</f>
        <v>#REF!</v>
      </c>
      <c r="AL49" s="90">
        <f t="shared" si="74"/>
        <v>829.13999999999999</v>
      </c>
      <c r="AM49" s="90">
        <f t="shared" si="74"/>
        <v>550.80333286002701</v>
      </c>
      <c r="AN49" s="87" t="e">
        <f t="shared" si="74"/>
        <v>#REF!</v>
      </c>
      <c r="AO49" s="87" t="e">
        <f t="shared" si="74"/>
        <v>#REF!</v>
      </c>
      <c r="AP49" s="42" t="e">
        <f t="shared" si="1"/>
        <v>#REF!</v>
      </c>
      <c r="AQ49" s="89" t="e">
        <f>AQ50+AQ51</f>
        <v>#REF!</v>
      </c>
      <c r="AR49" s="43" t="e">
        <f t="shared" si="2"/>
        <v>#REF!</v>
      </c>
      <c r="AS49" s="5"/>
      <c r="AT49" s="5"/>
      <c r="AU49" s="5"/>
      <c r="AV49" s="5"/>
      <c r="AW49" s="5"/>
      <c r="AX49" s="5"/>
      <c r="AY49" s="5"/>
      <c r="AZ49" s="5" t="s">
        <v>111</v>
      </c>
      <c r="BA49" s="5">
        <v>0</v>
      </c>
      <c r="BB49" s="5"/>
      <c r="BC49" s="5"/>
      <c r="BD49" s="5"/>
      <c r="BE49" s="5"/>
      <c r="BF49" s="5"/>
      <c r="BG49" s="5"/>
      <c r="BH49" s="5"/>
      <c r="BI49" s="5"/>
      <c r="BJ49" s="5"/>
      <c r="BK49" s="5"/>
      <c r="BL49" s="5"/>
      <c r="BM49" s="5"/>
      <c r="BN49" s="5"/>
      <c r="BO49" s="5"/>
      <c r="BP49" s="5"/>
      <c r="BQ49" s="5"/>
      <c r="BR49" s="5"/>
      <c r="BS49" s="5"/>
      <c r="BT49" s="5"/>
      <c r="BU49" s="5"/>
      <c r="BV49" s="5"/>
      <c r="BW49" s="5"/>
    </row>
    <row r="50" ht="17" customHeight="1">
      <c r="A50" s="44"/>
      <c r="B50" s="72" t="s">
        <v>100</v>
      </c>
      <c r="C50" s="46">
        <v>2</v>
      </c>
      <c r="D50" s="46"/>
      <c r="E50" s="46"/>
      <c r="F50" s="46"/>
      <c r="G50" s="73"/>
      <c r="H50" s="73"/>
      <c r="I50" s="73"/>
      <c r="J50" s="59">
        <f t="shared" ref="J50:J60" si="75">SUM(K50:O50)</f>
        <v>0</v>
      </c>
      <c r="K50" s="59">
        <f t="shared" ref="K50:K60" si="76">IF(D50="",I50*0.2,0)</f>
        <v>0</v>
      </c>
      <c r="L50" s="59">
        <f t="shared" ref="L50:L60" si="77">IF(D50=2017,I50*0.4,0)</f>
        <v>0</v>
      </c>
      <c r="M50" s="59">
        <f t="shared" ref="M50:M60" si="78">IF(D50=2018,I50*0.6,0)</f>
        <v>0</v>
      </c>
      <c r="N50" s="59">
        <f t="shared" ref="N50:N60" si="79">IF(D50=2019,I50*0.8,0)</f>
        <v>0</v>
      </c>
      <c r="O50" s="59">
        <f t="shared" ref="O50:O60" si="80">IF(D50=2020,I50*1,0)</f>
        <v>0</v>
      </c>
      <c r="P50" s="59"/>
      <c r="Q50" s="59"/>
      <c r="R50" s="59">
        <f>N50*0.4+O50*0.6+P50*0.8+Q50*1</f>
        <v>0</v>
      </c>
      <c r="S50" s="59">
        <f>Q50-T50-U50-V50</f>
        <v>0</v>
      </c>
      <c r="T50" s="59"/>
      <c r="U50" s="59"/>
      <c r="V50" s="59"/>
      <c r="W50" s="59"/>
      <c r="X50" s="61"/>
      <c r="Y50" s="62"/>
      <c r="Z50" s="59"/>
      <c r="AA50" s="59"/>
      <c r="AB50" s="59"/>
      <c r="AC50" s="59"/>
      <c r="AD50" s="61"/>
      <c r="AE50" s="59"/>
      <c r="AF50" s="59"/>
      <c r="AG50" s="59"/>
      <c r="AH50" s="59"/>
      <c r="AI50" s="59"/>
      <c r="AJ50" s="62"/>
      <c r="AK50" s="59" t="e">
        <f>AJ50/$AJ$9*0.05*200000</f>
        <v>#REF!</v>
      </c>
      <c r="AL50" s="61"/>
      <c r="AM50" s="59">
        <f>(AL50/$AL$9)*0.05*200000</f>
        <v>0</v>
      </c>
      <c r="AN50" s="53" t="e">
        <f>ROUND(AM50+AK50+AE50+AC50+Z50+W50,0)</f>
        <v>#REF!</v>
      </c>
      <c r="AO50" s="53" t="e">
        <f t="shared" ref="AO50:AO60" si="81">AN50-G50</f>
        <v>#REF!</v>
      </c>
      <c r="AP50" s="42"/>
      <c r="AQ50" s="62" t="e">
        <f t="shared" ref="AQ50:AQ60" si="82">AN50-H50</f>
        <v>#REF!</v>
      </c>
      <c r="AR50" s="43"/>
      <c r="AZ50" s="5" t="s">
        <v>112</v>
      </c>
      <c r="BA50" s="5">
        <v>800</v>
      </c>
    </row>
    <row r="51" s="74" customFormat="1" ht="17" customHeight="1">
      <c r="A51" s="75"/>
      <c r="B51" s="76" t="s">
        <v>76</v>
      </c>
      <c r="C51" s="77">
        <v>3</v>
      </c>
      <c r="D51" s="77"/>
      <c r="E51" s="77"/>
      <c r="F51" s="77"/>
      <c r="G51" s="91">
        <f>SUM(G52:G60)</f>
        <v>34255</v>
      </c>
      <c r="H51" s="91">
        <f>SUM(H52:H60)</f>
        <v>18865.915011105699</v>
      </c>
      <c r="I51" s="91">
        <f t="shared" ref="I51:O51" si="83">SUM(I52:I60)</f>
        <v>740646</v>
      </c>
      <c r="J51" s="79">
        <f t="shared" si="83"/>
        <v>561552.80000000005</v>
      </c>
      <c r="K51" s="79">
        <f t="shared" si="83"/>
        <v>15699.799999999999</v>
      </c>
      <c r="L51" s="79">
        <f t="shared" si="83"/>
        <v>14656</v>
      </c>
      <c r="M51" s="79">
        <f t="shared" si="83"/>
        <v>96456</v>
      </c>
      <c r="N51" s="79">
        <f t="shared" si="83"/>
        <v>120024</v>
      </c>
      <c r="O51" s="79">
        <f t="shared" si="83"/>
        <v>314717</v>
      </c>
      <c r="P51" s="91">
        <v>86982</v>
      </c>
      <c r="Q51" s="79">
        <f t="shared" ref="Q51:W51" si="84">SUM(Q52:Q60)</f>
        <v>156823</v>
      </c>
      <c r="R51" s="79">
        <f t="shared" si="84"/>
        <v>151584.79999999999</v>
      </c>
      <c r="S51" s="79">
        <f t="shared" si="84"/>
        <v>859.60000000000002</v>
      </c>
      <c r="T51" s="79">
        <f t="shared" si="84"/>
        <v>0</v>
      </c>
      <c r="U51" s="79">
        <f t="shared" si="84"/>
        <v>15795.200000000001</v>
      </c>
      <c r="V51" s="79">
        <f t="shared" si="84"/>
        <v>134930</v>
      </c>
      <c r="W51" s="94">
        <f t="shared" si="84"/>
        <v>11037.5031051189</v>
      </c>
      <c r="X51" s="92"/>
      <c r="Y51" s="93">
        <f t="shared" ref="Y51:AI51" si="85">SUM(Y52:Y60)</f>
        <v>0.102932828760643</v>
      </c>
      <c r="Z51" s="94">
        <f t="shared" si="85"/>
        <v>256.02972650110001</v>
      </c>
      <c r="AA51" s="94">
        <v>0</v>
      </c>
      <c r="AB51" s="94">
        <f t="shared" si="85"/>
        <v>0</v>
      </c>
      <c r="AC51" s="94">
        <f t="shared" si="85"/>
        <v>0</v>
      </c>
      <c r="AD51" s="94">
        <f t="shared" si="85"/>
        <v>492518</v>
      </c>
      <c r="AE51" s="94" t="e">
        <f t="shared" si="85"/>
        <v>#REF!</v>
      </c>
      <c r="AF51" s="91">
        <f t="shared" si="85"/>
        <v>0</v>
      </c>
      <c r="AG51" s="91">
        <f t="shared" si="85"/>
        <v>72</v>
      </c>
      <c r="AH51" s="91">
        <f t="shared" si="85"/>
        <v>1241.0954356846501</v>
      </c>
      <c r="AI51" s="94">
        <f t="shared" si="85"/>
        <v>0</v>
      </c>
      <c r="AJ51" s="93"/>
      <c r="AK51" s="94" t="e">
        <f t="shared" ref="AK51:AO51" si="86">SUM(AK52:AK60)</f>
        <v>#REF!</v>
      </c>
      <c r="AL51" s="94">
        <f t="shared" si="86"/>
        <v>829.13999999999999</v>
      </c>
      <c r="AM51" s="94">
        <f t="shared" si="86"/>
        <v>550.80333286002701</v>
      </c>
      <c r="AN51" s="91" t="e">
        <f t="shared" si="86"/>
        <v>#REF!</v>
      </c>
      <c r="AO51" s="91" t="e">
        <f t="shared" si="86"/>
        <v>#REF!</v>
      </c>
      <c r="AP51" s="42" t="e">
        <f t="shared" si="1"/>
        <v>#REF!</v>
      </c>
      <c r="AQ51" s="93" t="e">
        <f>SUM(AQ52:AQ60)</f>
        <v>#REF!</v>
      </c>
      <c r="AR51" s="43" t="e">
        <f t="shared" si="2"/>
        <v>#REF!</v>
      </c>
      <c r="AS51" s="5"/>
      <c r="AT51" s="5"/>
      <c r="AU51" s="5"/>
      <c r="AV51" s="5"/>
      <c r="AW51" s="5"/>
      <c r="AX51" s="5"/>
      <c r="AY51" s="5"/>
      <c r="AZ51" s="5" t="s">
        <v>113</v>
      </c>
      <c r="BA51" s="5">
        <v>1034</v>
      </c>
      <c r="BB51" s="5"/>
      <c r="BC51" s="5"/>
      <c r="BD51" s="5"/>
      <c r="BE51" s="5"/>
      <c r="BF51" s="5"/>
      <c r="BG51" s="5"/>
      <c r="BH51" s="5"/>
      <c r="BI51" s="5"/>
      <c r="BJ51" s="5"/>
      <c r="BK51" s="5"/>
      <c r="BL51" s="5"/>
      <c r="BM51" s="5"/>
      <c r="BN51" s="5"/>
      <c r="BO51" s="5"/>
      <c r="BP51" s="5"/>
      <c r="BQ51" s="5"/>
      <c r="BR51" s="5"/>
      <c r="BS51" s="5"/>
      <c r="BT51" s="5"/>
      <c r="BU51" s="5"/>
      <c r="BV51" s="5"/>
      <c r="BW51" s="5"/>
    </row>
    <row r="52" ht="17" customHeight="1">
      <c r="A52" s="46">
        <v>26</v>
      </c>
      <c r="B52" s="82" t="s">
        <v>101</v>
      </c>
      <c r="C52" s="46" t="s">
        <v>78</v>
      </c>
      <c r="D52" s="46"/>
      <c r="E52" s="46"/>
      <c r="F52" s="46"/>
      <c r="G52" s="73">
        <f t="shared" ref="G52:G60" si="87">VLOOKUP(B:B,$AZ:$BA,2,0)</f>
        <v>553</v>
      </c>
      <c r="H52" s="73">
        <f t="shared" ref="H52:H60" si="88">G52*210000/381298.76</f>
        <v>304.56432640903398</v>
      </c>
      <c r="I52" s="73">
        <v>11313</v>
      </c>
      <c r="J52" s="59">
        <f t="shared" si="75"/>
        <v>2262.5999999999999</v>
      </c>
      <c r="K52" s="59">
        <f t="shared" si="76"/>
        <v>2262.5999999999999</v>
      </c>
      <c r="L52" s="59">
        <f t="shared" si="77"/>
        <v>0</v>
      </c>
      <c r="M52" s="59">
        <f t="shared" si="78"/>
        <v>0</v>
      </c>
      <c r="N52" s="59">
        <f t="shared" si="79"/>
        <v>0</v>
      </c>
      <c r="O52" s="59">
        <f t="shared" si="80"/>
        <v>0</v>
      </c>
      <c r="P52" s="59">
        <v>1076</v>
      </c>
      <c r="Q52" s="59">
        <v>618</v>
      </c>
      <c r="R52" s="59">
        <f t="shared" ref="R52:R60" si="89">S52+T52+U52+V52</f>
        <v>247.19999999999999</v>
      </c>
      <c r="S52" s="59">
        <f t="shared" ref="S52:S54" si="90">Q52*0.4</f>
        <v>247.19999999999999</v>
      </c>
      <c r="T52" s="59"/>
      <c r="U52" s="59"/>
      <c r="V52" s="59"/>
      <c r="W52" s="59">
        <f t="shared" ref="W52:W60" si="91">(J52/$J$9*0.2+P52/$P$9*0.05+R52/$R$9*0.05)*299423</f>
        <v>51.664635429266298</v>
      </c>
      <c r="X52" s="61">
        <v>19728</v>
      </c>
      <c r="Y52" s="62">
        <f t="shared" ref="Y52:Y60" si="92">IF(X52&lt;12842,(12842-X52)/(12842-$X$175),0)</f>
        <v>0</v>
      </c>
      <c r="Z52" s="59">
        <f t="shared" ref="Z52:Z60" si="93">(Y52/$Y$9*0.15)*299423</f>
        <v>0</v>
      </c>
      <c r="AA52" s="59"/>
      <c r="AB52" s="59"/>
      <c r="AC52" s="59"/>
      <c r="AD52" s="61"/>
      <c r="AE52" s="59">
        <f t="shared" ref="AE52:AE60" si="94">AD52/$AD$9*71500</f>
        <v>0</v>
      </c>
      <c r="AF52" s="59"/>
      <c r="AG52" s="59">
        <v>10</v>
      </c>
      <c r="AH52" s="59">
        <f t="shared" ref="AH52:AH59" si="95">AG52/$AG$13*9347</f>
        <v>387.84232365145198</v>
      </c>
      <c r="AI52" s="59"/>
      <c r="AJ52" s="62" t="e">
        <f>VLOOKUP(B:B,表6资金使用成效（12月30日）!B:L,11,0)</f>
        <v>#REF!</v>
      </c>
      <c r="AK52" s="59" t="e">
        <f t="shared" ref="AK52:AK60" si="96">AJ52/$AJ$9*0.025*299423</f>
        <v>#REF!</v>
      </c>
      <c r="AL52" s="61">
        <v>94.400000000000006</v>
      </c>
      <c r="AM52" s="59">
        <f t="shared" ref="AM52:AM60" si="97">(AL52/$AL$9)*0.025*299423</f>
        <v>62.710561089787703</v>
      </c>
      <c r="AN52" s="53" t="e">
        <f t="shared" ref="AN52:AN60" si="98">ROUND(AM52+AK52+AE52+AC52+Z52+W52+AI52+AF52,0)</f>
        <v>#REF!</v>
      </c>
      <c r="AO52" s="53" t="e">
        <f t="shared" si="81"/>
        <v>#REF!</v>
      </c>
      <c r="AP52" s="42" t="e">
        <f t="shared" si="1"/>
        <v>#REF!</v>
      </c>
      <c r="AQ52" s="59" t="e">
        <f t="shared" si="82"/>
        <v>#REF!</v>
      </c>
      <c r="AR52" s="43" t="e">
        <f t="shared" si="2"/>
        <v>#REF!</v>
      </c>
      <c r="AZ52" s="5" t="s">
        <v>114</v>
      </c>
      <c r="BA52" s="5">
        <v>1186</v>
      </c>
    </row>
    <row r="53" ht="17" customHeight="1">
      <c r="A53" s="46">
        <v>27</v>
      </c>
      <c r="B53" s="82" t="s">
        <v>108</v>
      </c>
      <c r="C53" s="46" t="s">
        <v>78</v>
      </c>
      <c r="D53" s="46"/>
      <c r="E53" s="46"/>
      <c r="F53" s="46"/>
      <c r="G53" s="73">
        <f t="shared" si="87"/>
        <v>968</v>
      </c>
      <c r="H53" s="73">
        <f t="shared" si="88"/>
        <v>533.12525852431304</v>
      </c>
      <c r="I53" s="73">
        <v>17582</v>
      </c>
      <c r="J53" s="59">
        <f t="shared" si="75"/>
        <v>3516.4000000000001</v>
      </c>
      <c r="K53" s="59">
        <f t="shared" si="76"/>
        <v>3516.4000000000001</v>
      </c>
      <c r="L53" s="59">
        <f t="shared" si="77"/>
        <v>0</v>
      </c>
      <c r="M53" s="59">
        <f t="shared" si="78"/>
        <v>0</v>
      </c>
      <c r="N53" s="59">
        <f t="shared" si="79"/>
        <v>0</v>
      </c>
      <c r="O53" s="59">
        <f t="shared" si="80"/>
        <v>0</v>
      </c>
      <c r="P53" s="59">
        <v>1521</v>
      </c>
      <c r="Q53" s="59">
        <v>747</v>
      </c>
      <c r="R53" s="59">
        <f t="shared" si="89"/>
        <v>298.80000000000001</v>
      </c>
      <c r="S53" s="59">
        <f t="shared" si="90"/>
        <v>298.80000000000001</v>
      </c>
      <c r="T53" s="59"/>
      <c r="U53" s="59"/>
      <c r="V53" s="59"/>
      <c r="W53" s="59">
        <f t="shared" si="91"/>
        <v>76.202091180251799</v>
      </c>
      <c r="X53" s="61">
        <v>16673</v>
      </c>
      <c r="Y53" s="62">
        <f t="shared" si="92"/>
        <v>0</v>
      </c>
      <c r="Z53" s="59">
        <f t="shared" si="93"/>
        <v>0</v>
      </c>
      <c r="AA53" s="59"/>
      <c r="AB53" s="59"/>
      <c r="AC53" s="59"/>
      <c r="AD53" s="61"/>
      <c r="AE53" s="59">
        <f t="shared" si="94"/>
        <v>0</v>
      </c>
      <c r="AF53" s="59"/>
      <c r="AG53" s="59">
        <v>7</v>
      </c>
      <c r="AH53" s="59">
        <f t="shared" si="95"/>
        <v>271.48962655601701</v>
      </c>
      <c r="AI53" s="59"/>
      <c r="AJ53" s="62" t="e">
        <f>VLOOKUP(B:B,表6资金使用成效（12月30日）!B:L,11,0)</f>
        <v>#REF!</v>
      </c>
      <c r="AK53" s="59" t="e">
        <f t="shared" si="96"/>
        <v>#REF!</v>
      </c>
      <c r="AL53" s="61">
        <v>87.349999999999994</v>
      </c>
      <c r="AM53" s="59">
        <f t="shared" si="97"/>
        <v>58.027198211789802</v>
      </c>
      <c r="AN53" s="53" t="e">
        <f t="shared" si="98"/>
        <v>#REF!</v>
      </c>
      <c r="AO53" s="53" t="e">
        <f t="shared" si="81"/>
        <v>#REF!</v>
      </c>
      <c r="AP53" s="42" t="e">
        <f t="shared" si="1"/>
        <v>#REF!</v>
      </c>
      <c r="AQ53" s="59" t="e">
        <f t="shared" si="82"/>
        <v>#REF!</v>
      </c>
      <c r="AR53" s="43" t="e">
        <f t="shared" si="2"/>
        <v>#REF!</v>
      </c>
      <c r="AZ53" s="5" t="s">
        <v>115</v>
      </c>
      <c r="BA53" s="5">
        <v>466</v>
      </c>
    </row>
    <row r="54" ht="17" customHeight="1">
      <c r="A54" s="46">
        <v>28</v>
      </c>
      <c r="B54" s="82" t="s">
        <v>102</v>
      </c>
      <c r="C54" s="46" t="s">
        <v>78</v>
      </c>
      <c r="D54" s="46"/>
      <c r="E54" s="46"/>
      <c r="F54" s="46"/>
      <c r="G54" s="73">
        <f t="shared" si="87"/>
        <v>2441</v>
      </c>
      <c r="H54" s="73">
        <f t="shared" si="88"/>
        <v>1344.3788802250499</v>
      </c>
      <c r="I54" s="73">
        <v>15759</v>
      </c>
      <c r="J54" s="59">
        <f t="shared" si="75"/>
        <v>3151.8000000000002</v>
      </c>
      <c r="K54" s="59">
        <f t="shared" si="76"/>
        <v>3151.8000000000002</v>
      </c>
      <c r="L54" s="59">
        <f t="shared" si="77"/>
        <v>0</v>
      </c>
      <c r="M54" s="59">
        <f t="shared" si="78"/>
        <v>0</v>
      </c>
      <c r="N54" s="59">
        <f t="shared" si="79"/>
        <v>0</v>
      </c>
      <c r="O54" s="59">
        <f t="shared" si="80"/>
        <v>0</v>
      </c>
      <c r="P54" s="59">
        <v>981</v>
      </c>
      <c r="Q54" s="59">
        <v>784</v>
      </c>
      <c r="R54" s="59">
        <f t="shared" si="89"/>
        <v>313.60000000000002</v>
      </c>
      <c r="S54" s="59">
        <f t="shared" si="90"/>
        <v>313.60000000000002</v>
      </c>
      <c r="T54" s="59"/>
      <c r="U54" s="59"/>
      <c r="V54" s="59"/>
      <c r="W54" s="59">
        <f t="shared" si="91"/>
        <v>62.166199005549402</v>
      </c>
      <c r="X54" s="61">
        <v>13512</v>
      </c>
      <c r="Y54" s="62">
        <f t="shared" si="92"/>
        <v>0</v>
      </c>
      <c r="Z54" s="59">
        <f t="shared" si="93"/>
        <v>0</v>
      </c>
      <c r="AA54" s="59"/>
      <c r="AB54" s="59"/>
      <c r="AC54" s="59"/>
      <c r="AD54" s="61"/>
      <c r="AE54" s="59">
        <f t="shared" si="94"/>
        <v>0</v>
      </c>
      <c r="AF54" s="59"/>
      <c r="AG54" s="59">
        <v>7</v>
      </c>
      <c r="AH54" s="59">
        <f t="shared" si="95"/>
        <v>271.48962655601701</v>
      </c>
      <c r="AI54" s="59"/>
      <c r="AJ54" s="62" t="e">
        <f>VLOOKUP(B:B,表6资金使用成效（12月30日）!B:L,11,0)</f>
        <v>#REF!</v>
      </c>
      <c r="AK54" s="59" t="e">
        <f t="shared" si="96"/>
        <v>#REF!</v>
      </c>
      <c r="AL54" s="61">
        <v>95.469999999999999</v>
      </c>
      <c r="AM54" s="59">
        <f t="shared" si="97"/>
        <v>63.421369356377397</v>
      </c>
      <c r="AN54" s="53" t="e">
        <f t="shared" si="98"/>
        <v>#REF!</v>
      </c>
      <c r="AO54" s="53" t="e">
        <f t="shared" si="81"/>
        <v>#REF!</v>
      </c>
      <c r="AP54" s="42" t="e">
        <f t="shared" si="1"/>
        <v>#REF!</v>
      </c>
      <c r="AQ54" s="59" t="e">
        <f t="shared" si="82"/>
        <v>#REF!</v>
      </c>
      <c r="AR54" s="43" t="e">
        <f t="shared" si="2"/>
        <v>#REF!</v>
      </c>
      <c r="AZ54" s="5" t="s">
        <v>116</v>
      </c>
      <c r="BA54" s="5">
        <v>1287</v>
      </c>
    </row>
    <row r="55" ht="17" customHeight="1">
      <c r="A55" s="46">
        <v>29</v>
      </c>
      <c r="B55" s="82" t="s">
        <v>109</v>
      </c>
      <c r="C55" s="46" t="s">
        <v>93</v>
      </c>
      <c r="D55" s="46">
        <v>2019</v>
      </c>
      <c r="E55" s="46" t="s">
        <v>94</v>
      </c>
      <c r="F55" s="46"/>
      <c r="G55" s="73">
        <f t="shared" si="87"/>
        <v>4928</v>
      </c>
      <c r="H55" s="73">
        <f t="shared" si="88"/>
        <v>2714.0922252146802</v>
      </c>
      <c r="I55" s="73">
        <v>150030</v>
      </c>
      <c r="J55" s="59">
        <f t="shared" si="75"/>
        <v>120024</v>
      </c>
      <c r="K55" s="59">
        <f t="shared" si="76"/>
        <v>0</v>
      </c>
      <c r="L55" s="59">
        <f t="shared" si="77"/>
        <v>0</v>
      </c>
      <c r="M55" s="59">
        <f t="shared" si="78"/>
        <v>0</v>
      </c>
      <c r="N55" s="59">
        <f t="shared" si="79"/>
        <v>120024</v>
      </c>
      <c r="O55" s="59">
        <f t="shared" si="80"/>
        <v>0</v>
      </c>
      <c r="P55" s="59">
        <v>19923</v>
      </c>
      <c r="Q55" s="59">
        <v>51303</v>
      </c>
      <c r="R55" s="59">
        <f t="shared" si="89"/>
        <v>51303</v>
      </c>
      <c r="S55" s="59"/>
      <c r="T55" s="59"/>
      <c r="U55" s="59"/>
      <c r="V55" s="59">
        <f>Q55*1</f>
        <v>51303</v>
      </c>
      <c r="W55" s="59">
        <f t="shared" si="91"/>
        <v>2687.12299100686</v>
      </c>
      <c r="X55" s="61">
        <v>14442</v>
      </c>
      <c r="Y55" s="62">
        <f t="shared" si="92"/>
        <v>0</v>
      </c>
      <c r="Z55" s="59">
        <f t="shared" si="93"/>
        <v>0</v>
      </c>
      <c r="AA55" s="59"/>
      <c r="AB55" s="59"/>
      <c r="AC55" s="59"/>
      <c r="AD55" s="61">
        <f t="shared" ref="AD55:AD60" si="99">J55</f>
        <v>120024</v>
      </c>
      <c r="AE55" s="59"/>
      <c r="AF55" s="59"/>
      <c r="AG55" s="59">
        <v>13</v>
      </c>
      <c r="AH55" s="59"/>
      <c r="AI55" s="59"/>
      <c r="AJ55" s="62" t="e">
        <f>VLOOKUP(B:B,表6资金使用成效（12月30日）!B:L,11,0)</f>
        <v>#REF!</v>
      </c>
      <c r="AK55" s="59" t="e">
        <f t="shared" si="96"/>
        <v>#REF!</v>
      </c>
      <c r="AL55" s="61">
        <v>91.090000000000003</v>
      </c>
      <c r="AM55" s="59">
        <f t="shared" si="97"/>
        <v>60.511705610897899</v>
      </c>
      <c r="AN55" s="53" t="e">
        <f t="shared" si="98"/>
        <v>#REF!</v>
      </c>
      <c r="AO55" s="53" t="e">
        <f t="shared" si="81"/>
        <v>#REF!</v>
      </c>
      <c r="AP55" s="42" t="e">
        <f t="shared" si="1"/>
        <v>#REF!</v>
      </c>
      <c r="AQ55" s="59" t="e">
        <f t="shared" si="82"/>
        <v>#REF!</v>
      </c>
      <c r="AR55" s="43" t="e">
        <f t="shared" si="2"/>
        <v>#REF!</v>
      </c>
      <c r="AZ55" s="5" t="s">
        <v>117</v>
      </c>
      <c r="BA55" s="5">
        <v>2239</v>
      </c>
    </row>
    <row r="56" ht="17" customHeight="1">
      <c r="A56" s="46">
        <v>30</v>
      </c>
      <c r="B56" s="82" t="s">
        <v>106</v>
      </c>
      <c r="C56" s="46" t="s">
        <v>90</v>
      </c>
      <c r="D56" s="46">
        <v>2018</v>
      </c>
      <c r="E56" s="46" t="s">
        <v>91</v>
      </c>
      <c r="F56" s="46"/>
      <c r="G56" s="73">
        <f t="shared" si="87"/>
        <v>1347</v>
      </c>
      <c r="H56" s="73">
        <f t="shared" si="88"/>
        <v>741.85921821513398</v>
      </c>
      <c r="I56" s="73">
        <v>96295</v>
      </c>
      <c r="J56" s="59">
        <f t="shared" si="75"/>
        <v>57777</v>
      </c>
      <c r="K56" s="59">
        <f t="shared" si="76"/>
        <v>0</v>
      </c>
      <c r="L56" s="59">
        <f t="shared" si="77"/>
        <v>0</v>
      </c>
      <c r="M56" s="59">
        <f t="shared" si="78"/>
        <v>57777</v>
      </c>
      <c r="N56" s="59">
        <f t="shared" si="79"/>
        <v>0</v>
      </c>
      <c r="O56" s="59">
        <f t="shared" si="80"/>
        <v>0</v>
      </c>
      <c r="P56" s="59">
        <v>9703</v>
      </c>
      <c r="Q56" s="59">
        <v>5894</v>
      </c>
      <c r="R56" s="59">
        <f t="shared" si="89"/>
        <v>4715.1999999999998</v>
      </c>
      <c r="S56" s="59"/>
      <c r="T56" s="59"/>
      <c r="U56" s="59">
        <f t="shared" ref="U56:U59" si="100">Q56*0.8</f>
        <v>4715.1999999999998</v>
      </c>
      <c r="V56" s="59"/>
      <c r="W56" s="59">
        <f t="shared" si="91"/>
        <v>974.14603153983205</v>
      </c>
      <c r="X56" s="61">
        <v>14804</v>
      </c>
      <c r="Y56" s="62">
        <f t="shared" si="92"/>
        <v>0</v>
      </c>
      <c r="Z56" s="59">
        <f t="shared" si="93"/>
        <v>0</v>
      </c>
      <c r="AA56" s="59"/>
      <c r="AB56" s="59"/>
      <c r="AC56" s="59"/>
      <c r="AD56" s="61">
        <f t="shared" si="99"/>
        <v>57777</v>
      </c>
      <c r="AE56" s="59"/>
      <c r="AF56" s="59"/>
      <c r="AG56" s="59">
        <v>7</v>
      </c>
      <c r="AH56" s="59"/>
      <c r="AI56" s="59"/>
      <c r="AJ56" s="62" t="e">
        <f>VLOOKUP(B:B,表6资金使用成效（12月30日）!B:L,11,0)</f>
        <v>#REF!</v>
      </c>
      <c r="AK56" s="59" t="e">
        <f t="shared" si="96"/>
        <v>#REF!</v>
      </c>
      <c r="AL56" s="61">
        <v>91.920000000000002</v>
      </c>
      <c r="AM56" s="59">
        <f t="shared" si="97"/>
        <v>61.0630802475983</v>
      </c>
      <c r="AN56" s="53" t="e">
        <f t="shared" si="98"/>
        <v>#REF!</v>
      </c>
      <c r="AO56" s="53" t="e">
        <f t="shared" si="81"/>
        <v>#REF!</v>
      </c>
      <c r="AP56" s="42" t="e">
        <f t="shared" si="1"/>
        <v>#REF!</v>
      </c>
      <c r="AQ56" s="59" t="e">
        <f t="shared" si="82"/>
        <v>#REF!</v>
      </c>
      <c r="AR56" s="43" t="e">
        <f t="shared" si="2"/>
        <v>#REF!</v>
      </c>
      <c r="AZ56" s="5" t="s">
        <v>118</v>
      </c>
      <c r="BA56" s="5">
        <v>2130</v>
      </c>
    </row>
    <row r="57" ht="17" customHeight="1">
      <c r="A57" s="46">
        <v>31</v>
      </c>
      <c r="B57" s="82" t="s">
        <v>105</v>
      </c>
      <c r="C57" s="46" t="s">
        <v>90</v>
      </c>
      <c r="D57" s="46">
        <v>2017</v>
      </c>
      <c r="E57" s="46"/>
      <c r="F57" s="46"/>
      <c r="G57" s="73">
        <f t="shared" si="87"/>
        <v>289</v>
      </c>
      <c r="H57" s="73">
        <f t="shared" si="88"/>
        <v>159.16652862967601</v>
      </c>
      <c r="I57" s="73">
        <v>36640</v>
      </c>
      <c r="J57" s="59">
        <f t="shared" si="75"/>
        <v>14656</v>
      </c>
      <c r="K57" s="59">
        <f t="shared" si="76"/>
        <v>0</v>
      </c>
      <c r="L57" s="59">
        <f t="shared" si="77"/>
        <v>14656</v>
      </c>
      <c r="M57" s="59">
        <f t="shared" si="78"/>
        <v>0</v>
      </c>
      <c r="N57" s="59">
        <f t="shared" si="79"/>
        <v>0</v>
      </c>
      <c r="O57" s="59">
        <f t="shared" si="80"/>
        <v>0</v>
      </c>
      <c r="P57" s="59">
        <v>5824</v>
      </c>
      <c r="Q57" s="59">
        <v>4424</v>
      </c>
      <c r="R57" s="59">
        <f t="shared" si="89"/>
        <v>3539.1999999999998</v>
      </c>
      <c r="S57" s="59"/>
      <c r="T57" s="59"/>
      <c r="U57" s="59">
        <f t="shared" si="100"/>
        <v>3539.1999999999998</v>
      </c>
      <c r="V57" s="59"/>
      <c r="W57" s="59">
        <f t="shared" si="91"/>
        <v>345.23638357366701</v>
      </c>
      <c r="X57" s="61">
        <v>17502</v>
      </c>
      <c r="Y57" s="62">
        <f t="shared" si="92"/>
        <v>0</v>
      </c>
      <c r="Z57" s="59">
        <f t="shared" si="93"/>
        <v>0</v>
      </c>
      <c r="AA57" s="59"/>
      <c r="AB57" s="59"/>
      <c r="AC57" s="59"/>
      <c r="AD57" s="61"/>
      <c r="AE57" s="59">
        <f t="shared" si="94"/>
        <v>0</v>
      </c>
      <c r="AF57" s="59"/>
      <c r="AG57" s="59">
        <v>8</v>
      </c>
      <c r="AH57" s="59"/>
      <c r="AI57" s="59"/>
      <c r="AJ57" s="62" t="e">
        <f>VLOOKUP(B:B,表6资金使用成效（12月30日）!B:L,11,0)</f>
        <v>#REF!</v>
      </c>
      <c r="AK57" s="59" t="e">
        <f t="shared" si="96"/>
        <v>#REF!</v>
      </c>
      <c r="AL57" s="61">
        <v>90.420000000000002</v>
      </c>
      <c r="AM57" s="59">
        <f t="shared" si="97"/>
        <v>60.066620060790299</v>
      </c>
      <c r="AN57" s="53" t="e">
        <f t="shared" si="98"/>
        <v>#REF!</v>
      </c>
      <c r="AO57" s="53" t="e">
        <f t="shared" si="81"/>
        <v>#REF!</v>
      </c>
      <c r="AP57" s="42" t="e">
        <f t="shared" si="1"/>
        <v>#REF!</v>
      </c>
      <c r="AQ57" s="59" t="e">
        <f t="shared" si="82"/>
        <v>#REF!</v>
      </c>
      <c r="AR57" s="43" t="e">
        <f t="shared" si="2"/>
        <v>#REF!</v>
      </c>
      <c r="AZ57" s="5" t="s">
        <v>119</v>
      </c>
      <c r="BA57" s="5">
        <v>1652</v>
      </c>
    </row>
    <row r="58" ht="17" customHeight="1">
      <c r="A58" s="46">
        <v>32</v>
      </c>
      <c r="B58" s="82" t="s">
        <v>104</v>
      </c>
      <c r="C58" s="46" t="s">
        <v>90</v>
      </c>
      <c r="D58" s="46">
        <v>2018</v>
      </c>
      <c r="E58" s="46"/>
      <c r="F58" s="46"/>
      <c r="G58" s="73">
        <f t="shared" si="87"/>
        <v>2632</v>
      </c>
      <c r="H58" s="73">
        <f t="shared" si="88"/>
        <v>1449.5719839214801</v>
      </c>
      <c r="I58" s="73">
        <v>64465</v>
      </c>
      <c r="J58" s="59">
        <f t="shared" si="75"/>
        <v>38679</v>
      </c>
      <c r="K58" s="59">
        <f t="shared" si="76"/>
        <v>0</v>
      </c>
      <c r="L58" s="59">
        <f t="shared" si="77"/>
        <v>0</v>
      </c>
      <c r="M58" s="59">
        <f t="shared" si="78"/>
        <v>38679</v>
      </c>
      <c r="N58" s="59">
        <f t="shared" si="79"/>
        <v>0</v>
      </c>
      <c r="O58" s="59">
        <f t="shared" si="80"/>
        <v>0</v>
      </c>
      <c r="P58" s="59">
        <v>5660</v>
      </c>
      <c r="Q58" s="59">
        <v>5692</v>
      </c>
      <c r="R58" s="59">
        <f t="shared" si="89"/>
        <v>4553.6000000000004</v>
      </c>
      <c r="S58" s="59"/>
      <c r="T58" s="59"/>
      <c r="U58" s="59">
        <f t="shared" si="100"/>
        <v>4553.6000000000004</v>
      </c>
      <c r="V58" s="59"/>
      <c r="W58" s="59">
        <f t="shared" si="91"/>
        <v>659.59557119612703</v>
      </c>
      <c r="X58" s="61">
        <v>14066</v>
      </c>
      <c r="Y58" s="62">
        <f t="shared" si="92"/>
        <v>0</v>
      </c>
      <c r="Z58" s="59">
        <f t="shared" si="93"/>
        <v>0</v>
      </c>
      <c r="AA58" s="59"/>
      <c r="AB58" s="59"/>
      <c r="AC58" s="59"/>
      <c r="AD58" s="61"/>
      <c r="AE58" s="59">
        <f t="shared" si="94"/>
        <v>0</v>
      </c>
      <c r="AF58" s="59"/>
      <c r="AG58" s="59">
        <v>6</v>
      </c>
      <c r="AH58" s="59"/>
      <c r="AI58" s="59"/>
      <c r="AJ58" s="62" t="e">
        <f>VLOOKUP(B:B,表6资金使用成效（12月30日）!B:L,11,0)</f>
        <v>#REF!</v>
      </c>
      <c r="AK58" s="59" t="e">
        <f t="shared" si="96"/>
        <v>#REF!</v>
      </c>
      <c r="AL58" s="61">
        <v>94.030000000000001</v>
      </c>
      <c r="AM58" s="59">
        <f t="shared" si="97"/>
        <v>62.464767577041698</v>
      </c>
      <c r="AN58" s="53" t="e">
        <f t="shared" si="98"/>
        <v>#REF!</v>
      </c>
      <c r="AO58" s="53" t="e">
        <f t="shared" si="81"/>
        <v>#REF!</v>
      </c>
      <c r="AP58" s="42" t="e">
        <f t="shared" si="1"/>
        <v>#REF!</v>
      </c>
      <c r="AQ58" s="59" t="e">
        <f t="shared" si="82"/>
        <v>#REF!</v>
      </c>
      <c r="AR58" s="43" t="e">
        <f t="shared" si="2"/>
        <v>#REF!</v>
      </c>
      <c r="AZ58" s="5" t="s">
        <v>120</v>
      </c>
      <c r="BA58" s="5">
        <v>2597</v>
      </c>
    </row>
    <row r="59" ht="17" customHeight="1">
      <c r="A59" s="46">
        <v>33</v>
      </c>
      <c r="B59" s="82" t="s">
        <v>103</v>
      </c>
      <c r="C59" s="46" t="s">
        <v>78</v>
      </c>
      <c r="D59" s="46"/>
      <c r="E59" s="46"/>
      <c r="F59" s="46"/>
      <c r="G59" s="73">
        <f t="shared" si="87"/>
        <v>1192</v>
      </c>
      <c r="H59" s="73">
        <f t="shared" si="88"/>
        <v>656.49308694316198</v>
      </c>
      <c r="I59" s="73">
        <v>33845</v>
      </c>
      <c r="J59" s="59">
        <f t="shared" si="75"/>
        <v>6769</v>
      </c>
      <c r="K59" s="59">
        <f t="shared" si="76"/>
        <v>6769</v>
      </c>
      <c r="L59" s="59">
        <f t="shared" si="77"/>
        <v>0</v>
      </c>
      <c r="M59" s="59">
        <f t="shared" si="78"/>
        <v>0</v>
      </c>
      <c r="N59" s="59">
        <f t="shared" si="79"/>
        <v>0</v>
      </c>
      <c r="O59" s="59">
        <f t="shared" si="80"/>
        <v>0</v>
      </c>
      <c r="P59" s="59">
        <v>7128</v>
      </c>
      <c r="Q59" s="59">
        <v>3734</v>
      </c>
      <c r="R59" s="59">
        <f t="shared" si="89"/>
        <v>2987.1999999999998</v>
      </c>
      <c r="S59" s="59"/>
      <c r="T59" s="59"/>
      <c r="U59" s="59">
        <f t="shared" si="100"/>
        <v>2987.1999999999998</v>
      </c>
      <c r="V59" s="59"/>
      <c r="W59" s="59">
        <f t="shared" si="91"/>
        <v>260.97687389579897</v>
      </c>
      <c r="X59" s="61">
        <v>17518</v>
      </c>
      <c r="Y59" s="62">
        <f t="shared" si="92"/>
        <v>0</v>
      </c>
      <c r="Z59" s="59">
        <f t="shared" si="93"/>
        <v>0</v>
      </c>
      <c r="AA59" s="59"/>
      <c r="AB59" s="59"/>
      <c r="AC59" s="59"/>
      <c r="AD59" s="61"/>
      <c r="AE59" s="59">
        <f t="shared" si="94"/>
        <v>0</v>
      </c>
      <c r="AF59" s="59"/>
      <c r="AG59" s="59">
        <v>8</v>
      </c>
      <c r="AH59" s="59">
        <f t="shared" si="95"/>
        <v>310.273858921162</v>
      </c>
      <c r="AI59" s="59"/>
      <c r="AJ59" s="62" t="e">
        <f>VLOOKUP(B:B,表6资金使用成效（12月30日）!B:L,11,0)</f>
        <v>#REF!</v>
      </c>
      <c r="AK59" s="59" t="e">
        <f t="shared" si="96"/>
        <v>#REF!</v>
      </c>
      <c r="AL59" s="61">
        <v>90.829999999999998</v>
      </c>
      <c r="AM59" s="59">
        <f t="shared" si="97"/>
        <v>60.338985845184503</v>
      </c>
      <c r="AN59" s="53" t="e">
        <f t="shared" si="98"/>
        <v>#REF!</v>
      </c>
      <c r="AO59" s="53" t="e">
        <f t="shared" si="81"/>
        <v>#REF!</v>
      </c>
      <c r="AP59" s="42" t="e">
        <f t="shared" si="1"/>
        <v>#REF!</v>
      </c>
      <c r="AQ59" s="59" t="e">
        <f t="shared" si="82"/>
        <v>#REF!</v>
      </c>
      <c r="AR59" s="43" t="e">
        <f t="shared" si="2"/>
        <v>#REF!</v>
      </c>
      <c r="AZ59" s="5" t="s">
        <v>121</v>
      </c>
      <c r="BA59" s="5">
        <v>45384</v>
      </c>
    </row>
    <row r="60" s="5" customFormat="1" ht="17" customHeight="1">
      <c r="A60" s="46">
        <v>34</v>
      </c>
      <c r="B60" s="82" t="s">
        <v>107</v>
      </c>
      <c r="C60" s="46" t="s">
        <v>93</v>
      </c>
      <c r="D60" s="46">
        <v>2020</v>
      </c>
      <c r="E60" s="46" t="s">
        <v>94</v>
      </c>
      <c r="F60" s="46"/>
      <c r="G60" s="73">
        <f t="shared" si="87"/>
        <v>19905</v>
      </c>
      <c r="H60" s="73">
        <f t="shared" si="88"/>
        <v>10962.663503023199</v>
      </c>
      <c r="I60" s="73">
        <v>314717</v>
      </c>
      <c r="J60" s="59">
        <f t="shared" si="75"/>
        <v>314717</v>
      </c>
      <c r="K60" s="59">
        <f t="shared" si="76"/>
        <v>0</v>
      </c>
      <c r="L60" s="59">
        <f t="shared" si="77"/>
        <v>0</v>
      </c>
      <c r="M60" s="59">
        <f t="shared" si="78"/>
        <v>0</v>
      </c>
      <c r="N60" s="59">
        <f t="shared" si="79"/>
        <v>0</v>
      </c>
      <c r="O60" s="59">
        <f t="shared" si="80"/>
        <v>314717</v>
      </c>
      <c r="P60" s="59">
        <v>35166</v>
      </c>
      <c r="Q60" s="59">
        <v>83627</v>
      </c>
      <c r="R60" s="59">
        <f t="shared" si="89"/>
        <v>83627</v>
      </c>
      <c r="S60" s="59"/>
      <c r="T60" s="59"/>
      <c r="U60" s="59"/>
      <c r="V60" s="59">
        <f>Q60*1</f>
        <v>83627</v>
      </c>
      <c r="W60" s="59">
        <f t="shared" si="91"/>
        <v>5920.3923282915603</v>
      </c>
      <c r="X60" s="61">
        <v>12298</v>
      </c>
      <c r="Y60" s="62">
        <f t="shared" si="92"/>
        <v>0.102932828760643</v>
      </c>
      <c r="Z60" s="59">
        <f t="shared" si="93"/>
        <v>256.02972650110001</v>
      </c>
      <c r="AA60" s="59"/>
      <c r="AB60" s="59"/>
      <c r="AC60" s="59"/>
      <c r="AD60" s="61">
        <f t="shared" si="99"/>
        <v>314717</v>
      </c>
      <c r="AE60" s="59" t="e">
        <f>H60-W60-Z60-AC60-AK60-AM60</f>
        <v>#REF!</v>
      </c>
      <c r="AF60" s="59"/>
      <c r="AG60" s="59">
        <v>6</v>
      </c>
      <c r="AH60" s="59"/>
      <c r="AI60" s="59"/>
      <c r="AJ60" s="62" t="e">
        <f>VLOOKUP(B:B,表6资金使用成效（12月30日）!B:L,11,0)</f>
        <v>#REF!</v>
      </c>
      <c r="AK60" s="59" t="e">
        <f t="shared" si="96"/>
        <v>#REF!</v>
      </c>
      <c r="AL60" s="61">
        <v>93.629999999999995</v>
      </c>
      <c r="AM60" s="59">
        <f t="shared" si="97"/>
        <v>62.199044860559503</v>
      </c>
      <c r="AN60" s="53" t="e">
        <f t="shared" si="98"/>
        <v>#REF!</v>
      </c>
      <c r="AO60" s="53" t="e">
        <f t="shared" si="81"/>
        <v>#REF!</v>
      </c>
      <c r="AP60" s="83" t="e">
        <f t="shared" si="1"/>
        <v>#REF!</v>
      </c>
      <c r="AQ60" s="59" t="e">
        <f t="shared" si="82"/>
        <v>#REF!</v>
      </c>
      <c r="AR60" s="43" t="e">
        <f t="shared" si="2"/>
        <v>#REF!</v>
      </c>
      <c r="AZ60" s="5" t="s">
        <v>122</v>
      </c>
      <c r="BA60" s="5">
        <v>0</v>
      </c>
    </row>
    <row r="61" s="64" customFormat="1" ht="17" customHeight="1">
      <c r="A61" s="65"/>
      <c r="B61" s="66" t="s">
        <v>110</v>
      </c>
      <c r="C61" s="67">
        <v>1</v>
      </c>
      <c r="D61" s="67"/>
      <c r="E61" s="67"/>
      <c r="F61" s="67"/>
      <c r="G61" s="87">
        <f>G62+G63</f>
        <v>13391</v>
      </c>
      <c r="H61" s="87">
        <f>H62+H63</f>
        <v>7375.08299266433</v>
      </c>
      <c r="I61" s="87">
        <f t="shared" ref="I61:O61" si="101">I62+I63</f>
        <v>85777</v>
      </c>
      <c r="J61" s="69">
        <f t="shared" si="101"/>
        <v>17155.400000000001</v>
      </c>
      <c r="K61" s="69">
        <f t="shared" si="101"/>
        <v>17155.400000000001</v>
      </c>
      <c r="L61" s="69">
        <f t="shared" si="101"/>
        <v>0</v>
      </c>
      <c r="M61" s="69">
        <f t="shared" si="101"/>
        <v>0</v>
      </c>
      <c r="N61" s="69">
        <f t="shared" si="101"/>
        <v>0</v>
      </c>
      <c r="O61" s="69">
        <f t="shared" si="101"/>
        <v>0</v>
      </c>
      <c r="P61" s="69">
        <v>9845</v>
      </c>
      <c r="Q61" s="69">
        <f t="shared" ref="Q61:W61" si="102">Q62+Q63</f>
        <v>5246</v>
      </c>
      <c r="R61" s="69">
        <f t="shared" si="102"/>
        <v>2921.1999999999998</v>
      </c>
      <c r="S61" s="69">
        <f t="shared" si="102"/>
        <v>452.80000000000001</v>
      </c>
      <c r="T61" s="69">
        <f t="shared" si="102"/>
        <v>2468.4000000000001</v>
      </c>
      <c r="U61" s="69">
        <f t="shared" si="102"/>
        <v>0</v>
      </c>
      <c r="V61" s="69">
        <f t="shared" si="102"/>
        <v>0</v>
      </c>
      <c r="W61" s="69">
        <f t="shared" si="102"/>
        <v>438.88347236124901</v>
      </c>
      <c r="X61" s="88"/>
      <c r="Y61" s="89">
        <f t="shared" ref="Y61:AI61" si="103">Y62+Y63</f>
        <v>0</v>
      </c>
      <c r="Z61" s="69">
        <f t="shared" si="103"/>
        <v>0</v>
      </c>
      <c r="AA61" s="69">
        <v>0</v>
      </c>
      <c r="AB61" s="69">
        <f t="shared" si="103"/>
        <v>0</v>
      </c>
      <c r="AC61" s="69">
        <f t="shared" si="103"/>
        <v>0</v>
      </c>
      <c r="AD61" s="90">
        <f t="shared" si="103"/>
        <v>0</v>
      </c>
      <c r="AE61" s="69">
        <f t="shared" si="103"/>
        <v>0</v>
      </c>
      <c r="AF61" s="87">
        <f t="shared" si="103"/>
        <v>0</v>
      </c>
      <c r="AG61" s="87">
        <f t="shared" si="103"/>
        <v>67</v>
      </c>
      <c r="AH61" s="87">
        <f t="shared" si="103"/>
        <v>2598.54356846473</v>
      </c>
      <c r="AI61" s="69">
        <f t="shared" si="103"/>
        <v>0</v>
      </c>
      <c r="AJ61" s="89"/>
      <c r="AK61" s="69" t="e">
        <f t="shared" ref="AK61:AO61" si="104">AK62+AK63</f>
        <v>#REF!</v>
      </c>
      <c r="AL61" s="90">
        <f t="shared" si="104"/>
        <v>845.87</v>
      </c>
      <c r="AM61" s="69">
        <f t="shared" si="104"/>
        <v>561.917185476893</v>
      </c>
      <c r="AN61" s="87" t="e">
        <f t="shared" si="104"/>
        <v>#REF!</v>
      </c>
      <c r="AO61" s="87" t="e">
        <f t="shared" si="104"/>
        <v>#REF!</v>
      </c>
      <c r="AP61" s="42" t="e">
        <f t="shared" si="1"/>
        <v>#REF!</v>
      </c>
      <c r="AQ61" s="89" t="e">
        <f>AQ62+AQ63</f>
        <v>#REF!</v>
      </c>
      <c r="AR61" s="43" t="e">
        <f t="shared" si="2"/>
        <v>#REF!</v>
      </c>
      <c r="AS61" s="5"/>
      <c r="AT61" s="5"/>
      <c r="AU61" s="5"/>
      <c r="AV61" s="5"/>
      <c r="AW61" s="5"/>
      <c r="AX61" s="5"/>
      <c r="AY61" s="5"/>
      <c r="AZ61" s="5" t="s">
        <v>123</v>
      </c>
      <c r="BA61" s="5">
        <v>1259</v>
      </c>
      <c r="BB61" s="5"/>
      <c r="BC61" s="5"/>
      <c r="BD61" s="5"/>
      <c r="BE61" s="5"/>
      <c r="BF61" s="5"/>
      <c r="BG61" s="5"/>
      <c r="BH61" s="5"/>
      <c r="BI61" s="5"/>
      <c r="BJ61" s="5"/>
      <c r="BK61" s="5"/>
      <c r="BL61" s="5"/>
      <c r="BM61" s="5"/>
      <c r="BN61" s="5"/>
      <c r="BO61" s="5"/>
      <c r="BP61" s="5"/>
      <c r="BQ61" s="5"/>
      <c r="BR61" s="5"/>
      <c r="BS61" s="5"/>
      <c r="BT61" s="5"/>
      <c r="BU61" s="5"/>
      <c r="BV61" s="5"/>
      <c r="BW61" s="5"/>
    </row>
    <row r="62" ht="17" customHeight="1">
      <c r="A62" s="44"/>
      <c r="B62" s="72" t="s">
        <v>111</v>
      </c>
      <c r="C62" s="46">
        <v>2</v>
      </c>
      <c r="D62" s="46"/>
      <c r="E62" s="46"/>
      <c r="F62" s="46"/>
      <c r="G62" s="73"/>
      <c r="H62" s="73"/>
      <c r="I62" s="73"/>
      <c r="J62" s="59">
        <f t="shared" ref="J62:J72" si="105">SUM(K62:O62)</f>
        <v>0</v>
      </c>
      <c r="K62" s="59">
        <f t="shared" ref="K62:K72" si="106">IF(D62="",I62*0.2,0)</f>
        <v>0</v>
      </c>
      <c r="L62" s="59">
        <f t="shared" ref="L62:L72" si="107">IF(D62=2017,I62*0.4,0)</f>
        <v>0</v>
      </c>
      <c r="M62" s="59">
        <f t="shared" ref="M62:M72" si="108">IF(D62=2018,I62*0.6,0)</f>
        <v>0</v>
      </c>
      <c r="N62" s="59">
        <f t="shared" ref="N62:N72" si="109">IF(D62=2019,I62*0.8,0)</f>
        <v>0</v>
      </c>
      <c r="O62" s="59">
        <f t="shared" ref="O62:O72" si="110">IF(D62=2020,I62*1,0)</f>
        <v>0</v>
      </c>
      <c r="P62" s="59"/>
      <c r="Q62" s="59"/>
      <c r="R62" s="59">
        <f>N62*0.4+O62*0.6+P62*0.8+Q62*1</f>
        <v>0</v>
      </c>
      <c r="S62" s="59">
        <f>Q62-T62-U62-V62</f>
        <v>0</v>
      </c>
      <c r="T62" s="59"/>
      <c r="U62" s="59"/>
      <c r="V62" s="59"/>
      <c r="W62" s="59"/>
      <c r="X62" s="61"/>
      <c r="Y62" s="62"/>
      <c r="Z62" s="59"/>
      <c r="AA62" s="59"/>
      <c r="AB62" s="59"/>
      <c r="AC62" s="59"/>
      <c r="AD62" s="61"/>
      <c r="AE62" s="59"/>
      <c r="AF62" s="59"/>
      <c r="AG62" s="59"/>
      <c r="AH62" s="59"/>
      <c r="AI62" s="59"/>
      <c r="AJ62" s="62"/>
      <c r="AK62" s="59" t="e">
        <f>AJ62/$AJ$9*0.05*200000</f>
        <v>#REF!</v>
      </c>
      <c r="AL62" s="61"/>
      <c r="AM62" s="59">
        <f>(AL62/$AL$9)*0.05*200000</f>
        <v>0</v>
      </c>
      <c r="AN62" s="53" t="e">
        <f>ROUND(AM62+AK62+AE62+AC62+Z62+W62,0)</f>
        <v>#REF!</v>
      </c>
      <c r="AO62" s="53" t="e">
        <f t="shared" ref="AO62:AO72" si="111">AN62-G62</f>
        <v>#REF!</v>
      </c>
      <c r="AP62" s="42"/>
      <c r="AQ62" s="62" t="e">
        <f t="shared" ref="AQ62:AQ72" si="112">AN62-H62</f>
        <v>#REF!</v>
      </c>
      <c r="AR62" s="43"/>
      <c r="AZ62" s="5" t="s">
        <v>124</v>
      </c>
      <c r="BA62" s="5">
        <v>3056</v>
      </c>
    </row>
    <row r="63" s="74" customFormat="1" ht="17" customHeight="1">
      <c r="A63" s="75"/>
      <c r="B63" s="76" t="s">
        <v>76</v>
      </c>
      <c r="C63" s="77">
        <v>3</v>
      </c>
      <c r="D63" s="77"/>
      <c r="E63" s="77"/>
      <c r="F63" s="77"/>
      <c r="G63" s="91">
        <f>SUM(G64:G72)</f>
        <v>13391</v>
      </c>
      <c r="H63" s="91">
        <f>SUM(H64:H72)</f>
        <v>7375.08299266433</v>
      </c>
      <c r="I63" s="91">
        <f t="shared" ref="I63:O63" si="113">SUM(I64:I72)</f>
        <v>85777</v>
      </c>
      <c r="J63" s="79">
        <f t="shared" si="113"/>
        <v>17155.400000000001</v>
      </c>
      <c r="K63" s="79">
        <f t="shared" si="113"/>
        <v>17155.400000000001</v>
      </c>
      <c r="L63" s="79">
        <f t="shared" si="113"/>
        <v>0</v>
      </c>
      <c r="M63" s="79">
        <f t="shared" si="113"/>
        <v>0</v>
      </c>
      <c r="N63" s="79">
        <f t="shared" si="113"/>
        <v>0</v>
      </c>
      <c r="O63" s="79">
        <f t="shared" si="113"/>
        <v>0</v>
      </c>
      <c r="P63" s="79">
        <v>9845</v>
      </c>
      <c r="Q63" s="79">
        <f t="shared" ref="Q63:W63" si="114">SUM(Q64:Q72)</f>
        <v>5246</v>
      </c>
      <c r="R63" s="79">
        <f t="shared" si="114"/>
        <v>2921.1999999999998</v>
      </c>
      <c r="S63" s="79">
        <f t="shared" si="114"/>
        <v>452.80000000000001</v>
      </c>
      <c r="T63" s="79">
        <f t="shared" si="114"/>
        <v>2468.4000000000001</v>
      </c>
      <c r="U63" s="79">
        <f t="shared" si="114"/>
        <v>0</v>
      </c>
      <c r="V63" s="79">
        <f t="shared" si="114"/>
        <v>0</v>
      </c>
      <c r="W63" s="79">
        <f t="shared" si="114"/>
        <v>438.88347236124901</v>
      </c>
      <c r="X63" s="92"/>
      <c r="Y63" s="93">
        <f t="shared" ref="Y63:AI63" si="115">SUM(Y64:Y72)</f>
        <v>0</v>
      </c>
      <c r="Z63" s="79">
        <f t="shared" si="115"/>
        <v>0</v>
      </c>
      <c r="AA63" s="79">
        <v>0</v>
      </c>
      <c r="AB63" s="79">
        <f t="shared" si="115"/>
        <v>0</v>
      </c>
      <c r="AC63" s="79">
        <f t="shared" si="115"/>
        <v>0</v>
      </c>
      <c r="AD63" s="94">
        <f t="shared" si="115"/>
        <v>0</v>
      </c>
      <c r="AE63" s="79">
        <f t="shared" si="115"/>
        <v>0</v>
      </c>
      <c r="AF63" s="91">
        <f t="shared" si="115"/>
        <v>0</v>
      </c>
      <c r="AG63" s="91">
        <f t="shared" si="115"/>
        <v>67</v>
      </c>
      <c r="AH63" s="91">
        <f t="shared" si="115"/>
        <v>2598.54356846473</v>
      </c>
      <c r="AI63" s="79">
        <f t="shared" si="115"/>
        <v>0</v>
      </c>
      <c r="AJ63" s="93"/>
      <c r="AK63" s="79" t="e">
        <f t="shared" ref="AK63:AO63" si="116">SUM(AK64:AK72)</f>
        <v>#REF!</v>
      </c>
      <c r="AL63" s="94">
        <f t="shared" si="116"/>
        <v>845.87</v>
      </c>
      <c r="AM63" s="79">
        <f t="shared" si="116"/>
        <v>561.917185476893</v>
      </c>
      <c r="AN63" s="91" t="e">
        <f t="shared" si="116"/>
        <v>#REF!</v>
      </c>
      <c r="AO63" s="91" t="e">
        <f t="shared" si="116"/>
        <v>#REF!</v>
      </c>
      <c r="AP63" s="42" t="e">
        <f t="shared" si="1"/>
        <v>#REF!</v>
      </c>
      <c r="AQ63" s="93" t="e">
        <f>SUM(AQ64:AQ72)</f>
        <v>#REF!</v>
      </c>
      <c r="AR63" s="43" t="e">
        <f t="shared" si="2"/>
        <v>#REF!</v>
      </c>
      <c r="AS63" s="5"/>
      <c r="AT63" s="5"/>
      <c r="AU63" s="5"/>
      <c r="AV63" s="5"/>
      <c r="AW63" s="5"/>
      <c r="AX63" s="5"/>
      <c r="AY63" s="5"/>
      <c r="AZ63" s="5" t="s">
        <v>125</v>
      </c>
      <c r="BA63" s="5">
        <v>4229</v>
      </c>
      <c r="BB63" s="5"/>
      <c r="BC63" s="5"/>
      <c r="BD63" s="5"/>
      <c r="BE63" s="5"/>
      <c r="BF63" s="5"/>
      <c r="BG63" s="5"/>
      <c r="BH63" s="5"/>
      <c r="BI63" s="5"/>
      <c r="BJ63" s="5"/>
      <c r="BK63" s="5"/>
      <c r="BL63" s="5"/>
      <c r="BM63" s="5"/>
      <c r="BN63" s="5"/>
      <c r="BO63" s="5"/>
      <c r="BP63" s="5"/>
      <c r="BQ63" s="5"/>
      <c r="BR63" s="5"/>
      <c r="BS63" s="5"/>
      <c r="BT63" s="5"/>
      <c r="BU63" s="5"/>
      <c r="BV63" s="5"/>
      <c r="BW63" s="5"/>
    </row>
    <row r="64" ht="17" customHeight="1">
      <c r="A64" s="46">
        <v>35</v>
      </c>
      <c r="B64" s="82" t="s">
        <v>112</v>
      </c>
      <c r="C64" s="46" t="s">
        <v>78</v>
      </c>
      <c r="D64" s="46"/>
      <c r="E64" s="46"/>
      <c r="F64" s="46"/>
      <c r="G64" s="73">
        <f t="shared" ref="G64:G72" si="117">VLOOKUP(B:B,$AZ:$BA,2,0)</f>
        <v>800</v>
      </c>
      <c r="H64" s="73">
        <f t="shared" ref="H64:H72" si="118">G64*210000/381298.76</f>
        <v>440.59938721017602</v>
      </c>
      <c r="I64" s="73">
        <v>5253</v>
      </c>
      <c r="J64" s="59">
        <f t="shared" si="105"/>
        <v>1050.5999999999999</v>
      </c>
      <c r="K64" s="59">
        <f t="shared" si="106"/>
        <v>1050.5999999999999</v>
      </c>
      <c r="L64" s="59">
        <f t="shared" si="107"/>
        <v>0</v>
      </c>
      <c r="M64" s="59">
        <f t="shared" si="108"/>
        <v>0</v>
      </c>
      <c r="N64" s="59">
        <f t="shared" si="109"/>
        <v>0</v>
      </c>
      <c r="O64" s="59">
        <f t="shared" si="110"/>
        <v>0</v>
      </c>
      <c r="P64" s="59">
        <v>80</v>
      </c>
      <c r="Q64" s="59">
        <v>343</v>
      </c>
      <c r="R64" s="59">
        <f t="shared" ref="R64:R72" si="119">S64+T64+U64+V64</f>
        <v>137.19999999999999</v>
      </c>
      <c r="S64" s="59">
        <f t="shared" ref="S64:S70" si="120">Q64*0.4</f>
        <v>137.19999999999999</v>
      </c>
      <c r="T64" s="59"/>
      <c r="U64" s="59"/>
      <c r="V64" s="59"/>
      <c r="W64" s="59">
        <f t="shared" ref="W64:W72" si="121">(J64/$J$9*0.2+P64/$P$9*0.05+R64/$R$9*0.05)*299423</f>
        <v>16.8080173846948</v>
      </c>
      <c r="X64" s="61">
        <v>19988</v>
      </c>
      <c r="Y64" s="62">
        <f t="shared" ref="Y64:Y72" si="122">IF(X64&lt;12842,(12842-X64)/(12842-$X$175),0)</f>
        <v>0</v>
      </c>
      <c r="Z64" s="59">
        <f t="shared" ref="Z64:Z72" si="123">(Y64/$Y$9*0.15)*299423</f>
        <v>0</v>
      </c>
      <c r="AA64" s="59"/>
      <c r="AB64" s="59"/>
      <c r="AC64" s="59"/>
      <c r="AD64" s="61"/>
      <c r="AE64" s="59">
        <f t="shared" ref="AE64:AE72" si="124">AD64/$AD$9*71500</f>
        <v>0</v>
      </c>
      <c r="AF64" s="59"/>
      <c r="AG64" s="59">
        <v>8</v>
      </c>
      <c r="AH64" s="59">
        <f t="shared" ref="AH64:AH72" si="125">AG64/$AG$13*9347</f>
        <v>310.273858921162</v>
      </c>
      <c r="AI64" s="59"/>
      <c r="AJ64" s="62" t="e">
        <f>VLOOKUP(B:B,表6资金使用成效（12月30日）!B:L,11,0)</f>
        <v>#REF!</v>
      </c>
      <c r="AK64" s="59" t="e">
        <f t="shared" ref="AK64:AK72" si="126">AJ64/$AJ$9*0.025*299423</f>
        <v>#REF!</v>
      </c>
      <c r="AL64" s="61">
        <v>94.680000000000007</v>
      </c>
      <c r="AM64" s="59">
        <f t="shared" ref="AM64:AM72" si="127">(AL64/$AL$9)*0.025*299423</f>
        <v>62.896566991325201</v>
      </c>
      <c r="AN64" s="53" t="e">
        <f t="shared" ref="AN64:AN72" si="128">ROUND(AM64+AK64+AE64+AC64+Z64+W64+AI64+AF64,0)</f>
        <v>#REF!</v>
      </c>
      <c r="AO64" s="53" t="e">
        <f t="shared" si="111"/>
        <v>#REF!</v>
      </c>
      <c r="AP64" s="42" t="e">
        <f t="shared" si="1"/>
        <v>#REF!</v>
      </c>
      <c r="AQ64" s="59" t="e">
        <f t="shared" si="112"/>
        <v>#REF!</v>
      </c>
      <c r="AR64" s="43" t="e">
        <f t="shared" si="2"/>
        <v>#REF!</v>
      </c>
      <c r="AZ64" s="5" t="s">
        <v>126</v>
      </c>
      <c r="BA64" s="5">
        <v>6816</v>
      </c>
    </row>
    <row r="65" ht="17" customHeight="1">
      <c r="A65" s="46">
        <v>36</v>
      </c>
      <c r="B65" s="82" t="s">
        <v>115</v>
      </c>
      <c r="C65" s="46" t="s">
        <v>78</v>
      </c>
      <c r="D65" s="46"/>
      <c r="E65" s="46"/>
      <c r="F65" s="46"/>
      <c r="G65" s="73">
        <f t="shared" si="117"/>
        <v>466</v>
      </c>
      <c r="H65" s="73">
        <f t="shared" si="118"/>
        <v>256.649143049928</v>
      </c>
      <c r="I65" s="73">
        <v>2166</v>
      </c>
      <c r="J65" s="59">
        <f t="shared" si="105"/>
        <v>433.19999999999999</v>
      </c>
      <c r="K65" s="59">
        <f t="shared" si="106"/>
        <v>433.19999999999999</v>
      </c>
      <c r="L65" s="59">
        <f t="shared" si="107"/>
        <v>0</v>
      </c>
      <c r="M65" s="59">
        <f t="shared" si="108"/>
        <v>0</v>
      </c>
      <c r="N65" s="59">
        <f t="shared" si="109"/>
        <v>0</v>
      </c>
      <c r="O65" s="59">
        <f t="shared" si="110"/>
        <v>0</v>
      </c>
      <c r="P65" s="59">
        <v>333</v>
      </c>
      <c r="Q65" s="59">
        <v>88</v>
      </c>
      <c r="R65" s="59">
        <f t="shared" si="119"/>
        <v>35.200000000000003</v>
      </c>
      <c r="S65" s="59">
        <f t="shared" si="120"/>
        <v>35.200000000000003</v>
      </c>
      <c r="T65" s="59"/>
      <c r="U65" s="59"/>
      <c r="V65" s="59"/>
      <c r="W65" s="59">
        <f t="shared" si="121"/>
        <v>11.979108454859499</v>
      </c>
      <c r="X65" s="61">
        <v>19397</v>
      </c>
      <c r="Y65" s="62">
        <f t="shared" si="122"/>
        <v>0</v>
      </c>
      <c r="Z65" s="59">
        <f t="shared" si="123"/>
        <v>0</v>
      </c>
      <c r="AA65" s="59"/>
      <c r="AB65" s="59"/>
      <c r="AC65" s="59"/>
      <c r="AD65" s="61"/>
      <c r="AE65" s="59">
        <f t="shared" si="124"/>
        <v>0</v>
      </c>
      <c r="AF65" s="59"/>
      <c r="AG65" s="59">
        <v>7</v>
      </c>
      <c r="AH65" s="59">
        <f t="shared" si="125"/>
        <v>271.48962655601701</v>
      </c>
      <c r="AI65" s="59"/>
      <c r="AJ65" s="62" t="e">
        <f>VLOOKUP(B:B,表6资金使用成效（12月30日）!B:L,11,0)</f>
        <v>#REF!</v>
      </c>
      <c r="AK65" s="59" t="e">
        <f t="shared" si="126"/>
        <v>#REF!</v>
      </c>
      <c r="AL65" s="61">
        <v>96.269999999999996</v>
      </c>
      <c r="AM65" s="59">
        <f t="shared" si="127"/>
        <v>63.952814789341701</v>
      </c>
      <c r="AN65" s="53" t="e">
        <f t="shared" si="128"/>
        <v>#REF!</v>
      </c>
      <c r="AO65" s="53" t="e">
        <f t="shared" si="111"/>
        <v>#REF!</v>
      </c>
      <c r="AP65" s="42" t="e">
        <f t="shared" si="1"/>
        <v>#REF!</v>
      </c>
      <c r="AQ65" s="59" t="e">
        <f t="shared" si="112"/>
        <v>#REF!</v>
      </c>
      <c r="AR65" s="43" t="e">
        <f t="shared" si="2"/>
        <v>#REF!</v>
      </c>
      <c r="AZ65" s="5" t="s">
        <v>127</v>
      </c>
      <c r="BA65" s="5">
        <v>2670</v>
      </c>
    </row>
    <row r="66" ht="17" customHeight="1">
      <c r="A66" s="46">
        <v>37</v>
      </c>
      <c r="B66" s="82" t="s">
        <v>113</v>
      </c>
      <c r="C66" s="46" t="s">
        <v>78</v>
      </c>
      <c r="D66" s="46"/>
      <c r="E66" s="46"/>
      <c r="F66" s="46"/>
      <c r="G66" s="73">
        <f t="shared" si="117"/>
        <v>1034</v>
      </c>
      <c r="H66" s="73">
        <f t="shared" si="118"/>
        <v>569.47470796915297</v>
      </c>
      <c r="I66" s="73">
        <v>6785</v>
      </c>
      <c r="J66" s="59">
        <f t="shared" si="105"/>
        <v>1357</v>
      </c>
      <c r="K66" s="59">
        <f t="shared" si="106"/>
        <v>1357</v>
      </c>
      <c r="L66" s="59">
        <f t="shared" si="107"/>
        <v>0</v>
      </c>
      <c r="M66" s="59">
        <f t="shared" si="108"/>
        <v>0</v>
      </c>
      <c r="N66" s="59">
        <f t="shared" si="109"/>
        <v>0</v>
      </c>
      <c r="O66" s="59">
        <f t="shared" si="110"/>
        <v>0</v>
      </c>
      <c r="P66" s="59">
        <v>520</v>
      </c>
      <c r="Q66" s="59">
        <v>19</v>
      </c>
      <c r="R66" s="59">
        <f t="shared" si="119"/>
        <v>7.5999999999999996</v>
      </c>
      <c r="S66" s="59">
        <f t="shared" si="120"/>
        <v>7.5999999999999996</v>
      </c>
      <c r="T66" s="59"/>
      <c r="U66" s="59"/>
      <c r="V66" s="59"/>
      <c r="W66" s="59">
        <f t="shared" si="121"/>
        <v>26.470747588156499</v>
      </c>
      <c r="X66" s="61">
        <v>15701</v>
      </c>
      <c r="Y66" s="62">
        <f t="shared" si="122"/>
        <v>0</v>
      </c>
      <c r="Z66" s="59">
        <f t="shared" si="123"/>
        <v>0</v>
      </c>
      <c r="AA66" s="59"/>
      <c r="AB66" s="59"/>
      <c r="AC66" s="59"/>
      <c r="AD66" s="61"/>
      <c r="AE66" s="59">
        <f t="shared" si="124"/>
        <v>0</v>
      </c>
      <c r="AF66" s="59"/>
      <c r="AG66" s="59">
        <v>8</v>
      </c>
      <c r="AH66" s="59">
        <f t="shared" si="125"/>
        <v>310.273858921162</v>
      </c>
      <c r="AI66" s="59"/>
      <c r="AJ66" s="62" t="e">
        <f>VLOOKUP(B:B,表6资金使用成效（12月30日）!B:L,11,0)</f>
        <v>#REF!</v>
      </c>
      <c r="AK66" s="59" t="e">
        <f t="shared" si="126"/>
        <v>#REF!</v>
      </c>
      <c r="AL66" s="61">
        <v>99.140000000000001</v>
      </c>
      <c r="AM66" s="59">
        <f t="shared" si="127"/>
        <v>65.859375280101204</v>
      </c>
      <c r="AN66" s="53" t="e">
        <f t="shared" si="128"/>
        <v>#REF!</v>
      </c>
      <c r="AO66" s="53" t="e">
        <f t="shared" si="111"/>
        <v>#REF!</v>
      </c>
      <c r="AP66" s="42" t="e">
        <f t="shared" si="1"/>
        <v>#REF!</v>
      </c>
      <c r="AQ66" s="59" t="e">
        <f t="shared" si="112"/>
        <v>#REF!</v>
      </c>
      <c r="AR66" s="43" t="e">
        <f t="shared" si="2"/>
        <v>#REF!</v>
      </c>
      <c r="AZ66" s="5" t="s">
        <v>128</v>
      </c>
      <c r="BA66" s="5">
        <v>1029</v>
      </c>
    </row>
    <row r="67" ht="17" customHeight="1">
      <c r="A67" s="46">
        <v>38</v>
      </c>
      <c r="B67" s="82" t="s">
        <v>114</v>
      </c>
      <c r="C67" s="46" t="s">
        <v>78</v>
      </c>
      <c r="D67" s="46"/>
      <c r="E67" s="46"/>
      <c r="F67" s="46"/>
      <c r="G67" s="73">
        <f t="shared" si="117"/>
        <v>1186</v>
      </c>
      <c r="H67" s="73">
        <f t="shared" si="118"/>
        <v>653.18859153908602</v>
      </c>
      <c r="I67" s="73">
        <v>6899</v>
      </c>
      <c r="J67" s="59">
        <f t="shared" si="105"/>
        <v>1379.8</v>
      </c>
      <c r="K67" s="59">
        <f t="shared" si="106"/>
        <v>1379.8</v>
      </c>
      <c r="L67" s="59">
        <f t="shared" si="107"/>
        <v>0</v>
      </c>
      <c r="M67" s="59">
        <f t="shared" si="108"/>
        <v>0</v>
      </c>
      <c r="N67" s="59">
        <f t="shared" si="109"/>
        <v>0</v>
      </c>
      <c r="O67" s="59">
        <f t="shared" si="110"/>
        <v>0</v>
      </c>
      <c r="P67" s="59">
        <v>584</v>
      </c>
      <c r="Q67" s="59">
        <v>272</v>
      </c>
      <c r="R67" s="59">
        <f t="shared" si="119"/>
        <v>108.8</v>
      </c>
      <c r="S67" s="59">
        <f t="shared" si="120"/>
        <v>108.8</v>
      </c>
      <c r="T67" s="59"/>
      <c r="U67" s="59"/>
      <c r="V67" s="59"/>
      <c r="W67" s="59">
        <f t="shared" si="121"/>
        <v>29.534561635873899</v>
      </c>
      <c r="X67" s="61">
        <v>17966</v>
      </c>
      <c r="Y67" s="62">
        <f t="shared" si="122"/>
        <v>0</v>
      </c>
      <c r="Z67" s="59">
        <f t="shared" si="123"/>
        <v>0</v>
      </c>
      <c r="AA67" s="59"/>
      <c r="AB67" s="59"/>
      <c r="AC67" s="59"/>
      <c r="AD67" s="61"/>
      <c r="AE67" s="59">
        <f t="shared" si="124"/>
        <v>0</v>
      </c>
      <c r="AF67" s="59"/>
      <c r="AG67" s="59">
        <v>8</v>
      </c>
      <c r="AH67" s="59">
        <f t="shared" si="125"/>
        <v>310.273858921162</v>
      </c>
      <c r="AI67" s="59"/>
      <c r="AJ67" s="62" t="e">
        <f>VLOOKUP(B:B,表6资金使用成效（12月30日）!B:L,11,0)</f>
        <v>#REF!</v>
      </c>
      <c r="AK67" s="59" t="e">
        <f t="shared" si="126"/>
        <v>#REF!</v>
      </c>
      <c r="AL67" s="61">
        <v>91.069999999999993</v>
      </c>
      <c r="AM67" s="59">
        <f t="shared" si="127"/>
        <v>60.498419475073803</v>
      </c>
      <c r="AN67" s="53" t="e">
        <f t="shared" si="128"/>
        <v>#REF!</v>
      </c>
      <c r="AO67" s="53" t="e">
        <f t="shared" si="111"/>
        <v>#REF!</v>
      </c>
      <c r="AP67" s="42" t="e">
        <f t="shared" si="1"/>
        <v>#REF!</v>
      </c>
      <c r="AQ67" s="59" t="e">
        <f t="shared" si="112"/>
        <v>#REF!</v>
      </c>
      <c r="AR67" s="43" t="e">
        <f t="shared" si="2"/>
        <v>#REF!</v>
      </c>
      <c r="AZ67" s="5" t="s">
        <v>129</v>
      </c>
      <c r="BA67" s="5">
        <v>2076</v>
      </c>
    </row>
    <row r="68" ht="17" customHeight="1">
      <c r="A68" s="46">
        <v>39</v>
      </c>
      <c r="B68" s="82" t="s">
        <v>116</v>
      </c>
      <c r="C68" s="46" t="s">
        <v>78</v>
      </c>
      <c r="D68" s="46"/>
      <c r="E68" s="46"/>
      <c r="F68" s="46"/>
      <c r="G68" s="73">
        <f t="shared" si="117"/>
        <v>1287</v>
      </c>
      <c r="H68" s="73">
        <f t="shared" si="118"/>
        <v>708.81426417437103</v>
      </c>
      <c r="I68" s="73">
        <v>9464</v>
      </c>
      <c r="J68" s="59">
        <f t="shared" si="105"/>
        <v>1892.8</v>
      </c>
      <c r="K68" s="59">
        <f t="shared" si="106"/>
        <v>1892.8</v>
      </c>
      <c r="L68" s="59">
        <f t="shared" si="107"/>
        <v>0</v>
      </c>
      <c r="M68" s="59">
        <f t="shared" si="108"/>
        <v>0</v>
      </c>
      <c r="N68" s="59">
        <f t="shared" si="109"/>
        <v>0</v>
      </c>
      <c r="O68" s="59">
        <f t="shared" si="110"/>
        <v>0</v>
      </c>
      <c r="P68" s="59">
        <v>904</v>
      </c>
      <c r="Q68" s="59">
        <v>102</v>
      </c>
      <c r="R68" s="59">
        <f t="shared" si="119"/>
        <v>40.799999999999997</v>
      </c>
      <c r="S68" s="59">
        <f t="shared" si="120"/>
        <v>40.799999999999997</v>
      </c>
      <c r="T68" s="59"/>
      <c r="U68" s="59"/>
      <c r="V68" s="59"/>
      <c r="W68" s="59">
        <f t="shared" si="121"/>
        <v>40.619843838716299</v>
      </c>
      <c r="X68" s="61">
        <v>16535</v>
      </c>
      <c r="Y68" s="62">
        <f t="shared" si="122"/>
        <v>0</v>
      </c>
      <c r="Z68" s="59">
        <f t="shared" si="123"/>
        <v>0</v>
      </c>
      <c r="AA68" s="59"/>
      <c r="AB68" s="59"/>
      <c r="AC68" s="59"/>
      <c r="AD68" s="61"/>
      <c r="AE68" s="59">
        <f t="shared" si="124"/>
        <v>0</v>
      </c>
      <c r="AF68" s="59"/>
      <c r="AG68" s="59">
        <v>8</v>
      </c>
      <c r="AH68" s="59">
        <f t="shared" si="125"/>
        <v>310.273858921162</v>
      </c>
      <c r="AI68" s="59"/>
      <c r="AJ68" s="62" t="e">
        <f>VLOOKUP(B:B,表6资金使用成效（12月30日）!B:L,11,0)</f>
        <v>#REF!</v>
      </c>
      <c r="AK68" s="59" t="e">
        <f t="shared" si="126"/>
        <v>#REF!</v>
      </c>
      <c r="AL68" s="61">
        <v>95.349999999999994</v>
      </c>
      <c r="AM68" s="59">
        <f t="shared" si="127"/>
        <v>63.341652541432801</v>
      </c>
      <c r="AN68" s="53" t="e">
        <f t="shared" si="128"/>
        <v>#REF!</v>
      </c>
      <c r="AO68" s="53" t="e">
        <f t="shared" si="111"/>
        <v>#REF!</v>
      </c>
      <c r="AP68" s="42" t="e">
        <f t="shared" si="1"/>
        <v>#REF!</v>
      </c>
      <c r="AQ68" s="59" t="e">
        <f t="shared" si="112"/>
        <v>#REF!</v>
      </c>
      <c r="AR68" s="43" t="e">
        <f t="shared" si="2"/>
        <v>#REF!</v>
      </c>
      <c r="AZ68" s="5" t="s">
        <v>130</v>
      </c>
      <c r="BA68" s="5">
        <v>1136</v>
      </c>
    </row>
    <row r="69" ht="17" customHeight="1">
      <c r="A69" s="46">
        <v>40</v>
      </c>
      <c r="B69" s="82" t="s">
        <v>117</v>
      </c>
      <c r="C69" s="46" t="s">
        <v>78</v>
      </c>
      <c r="D69" s="46"/>
      <c r="E69" s="46"/>
      <c r="F69" s="46"/>
      <c r="G69" s="73">
        <f t="shared" si="117"/>
        <v>2239</v>
      </c>
      <c r="H69" s="73">
        <f t="shared" si="118"/>
        <v>1233.1275349544801</v>
      </c>
      <c r="I69" s="73">
        <v>11773</v>
      </c>
      <c r="J69" s="59">
        <f t="shared" si="105"/>
        <v>2354.5999999999999</v>
      </c>
      <c r="K69" s="59">
        <f t="shared" si="106"/>
        <v>2354.5999999999999</v>
      </c>
      <c r="L69" s="59">
        <f t="shared" si="107"/>
        <v>0</v>
      </c>
      <c r="M69" s="59">
        <f t="shared" si="108"/>
        <v>0</v>
      </c>
      <c r="N69" s="59">
        <f t="shared" si="109"/>
        <v>0</v>
      </c>
      <c r="O69" s="59">
        <f t="shared" si="110"/>
        <v>0</v>
      </c>
      <c r="P69" s="59">
        <v>1010</v>
      </c>
      <c r="Q69" s="59">
        <v>1238</v>
      </c>
      <c r="R69" s="59">
        <f t="shared" si="119"/>
        <v>742.79999999999995</v>
      </c>
      <c r="S69" s="59"/>
      <c r="T69" s="59">
        <f t="shared" ref="T69:T72" si="129">Q69*0.6</f>
        <v>742.79999999999995</v>
      </c>
      <c r="U69" s="59"/>
      <c r="V69" s="59"/>
      <c r="W69" s="59">
        <f t="shared" si="121"/>
        <v>59.602930632815998</v>
      </c>
      <c r="X69" s="61">
        <v>16220</v>
      </c>
      <c r="Y69" s="62">
        <f t="shared" si="122"/>
        <v>0</v>
      </c>
      <c r="Z69" s="59">
        <f t="shared" si="123"/>
        <v>0</v>
      </c>
      <c r="AA69" s="59"/>
      <c r="AB69" s="59"/>
      <c r="AC69" s="59"/>
      <c r="AD69" s="61"/>
      <c r="AE69" s="59">
        <f t="shared" si="124"/>
        <v>0</v>
      </c>
      <c r="AF69" s="59"/>
      <c r="AG69" s="59">
        <v>8</v>
      </c>
      <c r="AH69" s="59">
        <f t="shared" si="125"/>
        <v>310.273858921162</v>
      </c>
      <c r="AI69" s="59"/>
      <c r="AJ69" s="62" t="e">
        <f>VLOOKUP(B:B,表6资金使用成效（12月30日）!B:L,11,0)</f>
        <v>#REF!</v>
      </c>
      <c r="AK69" s="59" t="e">
        <f t="shared" si="126"/>
        <v>#REF!</v>
      </c>
      <c r="AL69" s="61">
        <v>87.019999999999996</v>
      </c>
      <c r="AM69" s="59">
        <f t="shared" si="127"/>
        <v>57.807976970692003</v>
      </c>
      <c r="AN69" s="53" t="e">
        <f t="shared" si="128"/>
        <v>#REF!</v>
      </c>
      <c r="AO69" s="53" t="e">
        <f t="shared" si="111"/>
        <v>#REF!</v>
      </c>
      <c r="AP69" s="42" t="e">
        <f t="shared" si="1"/>
        <v>#REF!</v>
      </c>
      <c r="AQ69" s="59" t="e">
        <f t="shared" si="112"/>
        <v>#REF!</v>
      </c>
      <c r="AR69" s="43" t="e">
        <f t="shared" si="2"/>
        <v>#REF!</v>
      </c>
      <c r="AZ69" s="5" t="s">
        <v>131</v>
      </c>
      <c r="BA69" s="5">
        <v>4975</v>
      </c>
    </row>
    <row r="70" ht="17" customHeight="1">
      <c r="A70" s="46">
        <v>41</v>
      </c>
      <c r="B70" s="82" t="s">
        <v>118</v>
      </c>
      <c r="C70" s="46" t="s">
        <v>78</v>
      </c>
      <c r="D70" s="46"/>
      <c r="E70" s="46"/>
      <c r="F70" s="46"/>
      <c r="G70" s="73">
        <f t="shared" si="117"/>
        <v>2130</v>
      </c>
      <c r="H70" s="73">
        <f t="shared" si="118"/>
        <v>1173.09586844709</v>
      </c>
      <c r="I70" s="73">
        <v>10779</v>
      </c>
      <c r="J70" s="59">
        <f t="shared" si="105"/>
        <v>2155.8000000000002</v>
      </c>
      <c r="K70" s="59">
        <f t="shared" si="106"/>
        <v>2155.8000000000002</v>
      </c>
      <c r="L70" s="59">
        <f t="shared" si="107"/>
        <v>0</v>
      </c>
      <c r="M70" s="59">
        <f t="shared" si="108"/>
        <v>0</v>
      </c>
      <c r="N70" s="59">
        <f t="shared" si="109"/>
        <v>0</v>
      </c>
      <c r="O70" s="59">
        <f t="shared" si="110"/>
        <v>0</v>
      </c>
      <c r="P70" s="59">
        <v>1472</v>
      </c>
      <c r="Q70" s="59">
        <v>308</v>
      </c>
      <c r="R70" s="59">
        <f t="shared" si="119"/>
        <v>123.2</v>
      </c>
      <c r="S70" s="59">
        <f t="shared" si="120"/>
        <v>123.2</v>
      </c>
      <c r="T70" s="59"/>
      <c r="U70" s="59"/>
      <c r="V70" s="59"/>
      <c r="W70" s="59">
        <f t="shared" si="121"/>
        <v>55.449518449889801</v>
      </c>
      <c r="X70" s="61">
        <v>15441</v>
      </c>
      <c r="Y70" s="62">
        <f t="shared" si="122"/>
        <v>0</v>
      </c>
      <c r="Z70" s="59">
        <f t="shared" si="123"/>
        <v>0</v>
      </c>
      <c r="AA70" s="59"/>
      <c r="AB70" s="59"/>
      <c r="AC70" s="59"/>
      <c r="AD70" s="61"/>
      <c r="AE70" s="59">
        <f t="shared" si="124"/>
        <v>0</v>
      </c>
      <c r="AF70" s="59"/>
      <c r="AG70" s="59">
        <v>6</v>
      </c>
      <c r="AH70" s="59">
        <f t="shared" si="125"/>
        <v>232.705394190871</v>
      </c>
      <c r="AI70" s="59"/>
      <c r="AJ70" s="62" t="e">
        <f>VLOOKUP(B:B,表6资金使用成效（12月30日）!B:L,11,0)</f>
        <v>#REF!</v>
      </c>
      <c r="AK70" s="59" t="e">
        <f t="shared" si="126"/>
        <v>#REF!</v>
      </c>
      <c r="AL70" s="61">
        <v>98.689999999999998</v>
      </c>
      <c r="AM70" s="59">
        <f t="shared" si="127"/>
        <v>65.560437224058802</v>
      </c>
      <c r="AN70" s="53" t="e">
        <f t="shared" si="128"/>
        <v>#REF!</v>
      </c>
      <c r="AO70" s="53" t="e">
        <f t="shared" si="111"/>
        <v>#REF!</v>
      </c>
      <c r="AP70" s="42" t="e">
        <f t="shared" si="1"/>
        <v>#REF!</v>
      </c>
      <c r="AQ70" s="59" t="e">
        <f t="shared" si="112"/>
        <v>#REF!</v>
      </c>
      <c r="AR70" s="43" t="e">
        <f t="shared" si="2"/>
        <v>#REF!</v>
      </c>
      <c r="AZ70" s="5" t="s">
        <v>132</v>
      </c>
      <c r="BA70" s="5">
        <v>4588</v>
      </c>
    </row>
    <row r="71" ht="17" customHeight="1">
      <c r="A71" s="46">
        <v>42</v>
      </c>
      <c r="B71" s="82" t="s">
        <v>119</v>
      </c>
      <c r="C71" s="46" t="s">
        <v>78</v>
      </c>
      <c r="D71" s="46"/>
      <c r="E71" s="46"/>
      <c r="F71" s="46"/>
      <c r="G71" s="73">
        <f t="shared" si="117"/>
        <v>1652</v>
      </c>
      <c r="H71" s="73">
        <f t="shared" si="118"/>
        <v>909.83773458901396</v>
      </c>
      <c r="I71" s="73">
        <v>10233</v>
      </c>
      <c r="J71" s="59">
        <f t="shared" si="105"/>
        <v>2046.5999999999999</v>
      </c>
      <c r="K71" s="59">
        <f t="shared" si="106"/>
        <v>2046.5999999999999</v>
      </c>
      <c r="L71" s="59">
        <f t="shared" si="107"/>
        <v>0</v>
      </c>
      <c r="M71" s="59">
        <f t="shared" si="108"/>
        <v>0</v>
      </c>
      <c r="N71" s="59">
        <f t="shared" si="109"/>
        <v>0</v>
      </c>
      <c r="O71" s="59">
        <f t="shared" si="110"/>
        <v>0</v>
      </c>
      <c r="P71" s="59">
        <v>1921</v>
      </c>
      <c r="Q71" s="59">
        <v>1042</v>
      </c>
      <c r="R71" s="59">
        <f t="shared" si="119"/>
        <v>625.20000000000005</v>
      </c>
      <c r="S71" s="59"/>
      <c r="T71" s="59">
        <f t="shared" si="129"/>
        <v>625.20000000000005</v>
      </c>
      <c r="U71" s="59"/>
      <c r="V71" s="59"/>
      <c r="W71" s="59">
        <f t="shared" si="121"/>
        <v>70.226327085287295</v>
      </c>
      <c r="X71" s="61">
        <v>15858</v>
      </c>
      <c r="Y71" s="62">
        <f t="shared" si="122"/>
        <v>0</v>
      </c>
      <c r="Z71" s="59">
        <f t="shared" si="123"/>
        <v>0</v>
      </c>
      <c r="AA71" s="59"/>
      <c r="AB71" s="59"/>
      <c r="AC71" s="59"/>
      <c r="AD71" s="61"/>
      <c r="AE71" s="59">
        <f t="shared" si="124"/>
        <v>0</v>
      </c>
      <c r="AF71" s="59"/>
      <c r="AG71" s="59">
        <v>7</v>
      </c>
      <c r="AH71" s="59">
        <f t="shared" si="125"/>
        <v>271.48962655601701</v>
      </c>
      <c r="AI71" s="59"/>
      <c r="AJ71" s="62" t="e">
        <f>VLOOKUP(B:B,表6资金使用成效（12月30日）!B:L,11,0)</f>
        <v>#REF!</v>
      </c>
      <c r="AK71" s="59" t="e">
        <f t="shared" si="126"/>
        <v>#REF!</v>
      </c>
      <c r="AL71" s="61">
        <v>95.159999999999997</v>
      </c>
      <c r="AM71" s="59">
        <f t="shared" si="127"/>
        <v>63.215434251103801</v>
      </c>
      <c r="AN71" s="53" t="e">
        <f t="shared" si="128"/>
        <v>#REF!</v>
      </c>
      <c r="AO71" s="53" t="e">
        <f t="shared" si="111"/>
        <v>#REF!</v>
      </c>
      <c r="AP71" s="42" t="e">
        <f t="shared" si="1"/>
        <v>#REF!</v>
      </c>
      <c r="AQ71" s="59" t="e">
        <f t="shared" si="112"/>
        <v>#REF!</v>
      </c>
      <c r="AR71" s="43" t="e">
        <f t="shared" si="2"/>
        <v>#REF!</v>
      </c>
      <c r="AZ71" s="5" t="s">
        <v>133</v>
      </c>
      <c r="BA71" s="5">
        <v>3632</v>
      </c>
    </row>
    <row r="72" ht="17" customHeight="1">
      <c r="A72" s="46">
        <v>43</v>
      </c>
      <c r="B72" s="82" t="s">
        <v>120</v>
      </c>
      <c r="C72" s="46" t="s">
        <v>78</v>
      </c>
      <c r="D72" s="46"/>
      <c r="E72" s="46"/>
      <c r="F72" s="46"/>
      <c r="G72" s="73">
        <f t="shared" si="117"/>
        <v>2597</v>
      </c>
      <c r="H72" s="73">
        <f t="shared" si="118"/>
        <v>1430.29576073103</v>
      </c>
      <c r="I72" s="73">
        <v>22425</v>
      </c>
      <c r="J72" s="59">
        <f t="shared" si="105"/>
        <v>4485</v>
      </c>
      <c r="K72" s="59">
        <f t="shared" si="106"/>
        <v>4485</v>
      </c>
      <c r="L72" s="59">
        <f t="shared" si="107"/>
        <v>0</v>
      </c>
      <c r="M72" s="59">
        <f t="shared" si="108"/>
        <v>0</v>
      </c>
      <c r="N72" s="59">
        <f t="shared" si="109"/>
        <v>0</v>
      </c>
      <c r="O72" s="59">
        <f t="shared" si="110"/>
        <v>0</v>
      </c>
      <c r="P72" s="59">
        <v>3021</v>
      </c>
      <c r="Q72" s="59">
        <v>1834</v>
      </c>
      <c r="R72" s="59">
        <f t="shared" si="119"/>
        <v>1100.4000000000001</v>
      </c>
      <c r="S72" s="59"/>
      <c r="T72" s="59">
        <f t="shared" si="129"/>
        <v>1100.4000000000001</v>
      </c>
      <c r="U72" s="59"/>
      <c r="V72" s="59"/>
      <c r="W72" s="59">
        <f t="shared" si="121"/>
        <v>128.19241729095501</v>
      </c>
      <c r="X72" s="61">
        <v>15128</v>
      </c>
      <c r="Y72" s="62">
        <f t="shared" si="122"/>
        <v>0</v>
      </c>
      <c r="Z72" s="59">
        <f t="shared" si="123"/>
        <v>0</v>
      </c>
      <c r="AA72" s="59"/>
      <c r="AB72" s="59"/>
      <c r="AC72" s="59"/>
      <c r="AD72" s="61"/>
      <c r="AE72" s="59">
        <f t="shared" si="124"/>
        <v>0</v>
      </c>
      <c r="AF72" s="59"/>
      <c r="AG72" s="59">
        <v>7</v>
      </c>
      <c r="AH72" s="59">
        <f t="shared" si="125"/>
        <v>271.48962655601701</v>
      </c>
      <c r="AI72" s="59"/>
      <c r="AJ72" s="62" t="e">
        <f>VLOOKUP(B:B,表6资金使用成效（12月30日）!B:L,11,0)</f>
        <v>#REF!</v>
      </c>
      <c r="AK72" s="59" t="e">
        <f t="shared" si="126"/>
        <v>#REF!</v>
      </c>
      <c r="AL72" s="61">
        <v>88.489999999999995</v>
      </c>
      <c r="AM72" s="59">
        <f t="shared" si="127"/>
        <v>58.784507953763899</v>
      </c>
      <c r="AN72" s="53" t="e">
        <f t="shared" si="128"/>
        <v>#REF!</v>
      </c>
      <c r="AO72" s="53" t="e">
        <f t="shared" si="111"/>
        <v>#REF!</v>
      </c>
      <c r="AP72" s="42" t="e">
        <f t="shared" si="1"/>
        <v>#REF!</v>
      </c>
      <c r="AQ72" s="59" t="e">
        <f t="shared" si="112"/>
        <v>#REF!</v>
      </c>
      <c r="AR72" s="43" t="e">
        <f t="shared" si="2"/>
        <v>#REF!</v>
      </c>
      <c r="AZ72" s="5" t="s">
        <v>134</v>
      </c>
      <c r="BA72" s="5">
        <v>5593</v>
      </c>
    </row>
    <row r="73" s="64" customFormat="1" ht="17" customHeight="1">
      <c r="A73" s="65"/>
      <c r="B73" s="66" t="s">
        <v>121</v>
      </c>
      <c r="C73" s="67">
        <v>1</v>
      </c>
      <c r="D73" s="67"/>
      <c r="E73" s="67"/>
      <c r="F73" s="67"/>
      <c r="G73" s="87">
        <f>G74+G75</f>
        <v>45384</v>
      </c>
      <c r="H73" s="87">
        <f>H74+H75</f>
        <v>24995.203236433299</v>
      </c>
      <c r="I73" s="87">
        <f t="shared" ref="I73:O73" si="130">I74+I75</f>
        <v>819007</v>
      </c>
      <c r="J73" s="69">
        <f t="shared" si="130"/>
        <v>527926.19999999995</v>
      </c>
      <c r="K73" s="69">
        <f t="shared" si="130"/>
        <v>39463.199999999997</v>
      </c>
      <c r="L73" s="69">
        <f t="shared" si="130"/>
        <v>13266.4</v>
      </c>
      <c r="M73" s="69">
        <f t="shared" si="130"/>
        <v>29035.200000000001</v>
      </c>
      <c r="N73" s="69">
        <f t="shared" si="130"/>
        <v>375886.40000000002</v>
      </c>
      <c r="O73" s="69">
        <f t="shared" si="130"/>
        <v>70275</v>
      </c>
      <c r="P73" s="69">
        <v>72742</v>
      </c>
      <c r="Q73" s="69">
        <f t="shared" ref="Q73:W73" si="131">Q74+Q75</f>
        <v>75806</v>
      </c>
      <c r="R73" s="69">
        <f t="shared" si="131"/>
        <v>68978.199999999997</v>
      </c>
      <c r="S73" s="69">
        <f t="shared" si="131"/>
        <v>0</v>
      </c>
      <c r="T73" s="69">
        <f t="shared" si="131"/>
        <v>9109.2000000000007</v>
      </c>
      <c r="U73" s="69">
        <f t="shared" si="131"/>
        <v>3020</v>
      </c>
      <c r="V73" s="69">
        <f t="shared" si="131"/>
        <v>56849</v>
      </c>
      <c r="W73" s="69">
        <f t="shared" si="131"/>
        <v>9031.4910328200494</v>
      </c>
      <c r="X73" s="88"/>
      <c r="Y73" s="89">
        <f t="shared" ref="Y73:AI73" si="132">Y74+Y75</f>
        <v>2.3610217596972598</v>
      </c>
      <c r="Z73" s="69">
        <f t="shared" si="132"/>
        <v>5872.6818516189896</v>
      </c>
      <c r="AA73" s="69">
        <v>49</v>
      </c>
      <c r="AB73" s="69">
        <f t="shared" si="132"/>
        <v>12356.529411764701</v>
      </c>
      <c r="AC73" s="69">
        <f t="shared" si="132"/>
        <v>12356.529411764701</v>
      </c>
      <c r="AD73" s="90">
        <f t="shared" si="132"/>
        <v>446161.40000000002</v>
      </c>
      <c r="AE73" s="69" t="e">
        <f t="shared" si="132"/>
        <v>#REF!</v>
      </c>
      <c r="AF73" s="87">
        <f t="shared" si="132"/>
        <v>0</v>
      </c>
      <c r="AG73" s="87">
        <f t="shared" si="132"/>
        <v>55</v>
      </c>
      <c r="AH73" s="87">
        <f t="shared" si="132"/>
        <v>1124.7427385892099</v>
      </c>
      <c r="AI73" s="69">
        <f t="shared" si="132"/>
        <v>0</v>
      </c>
      <c r="AJ73" s="89"/>
      <c r="AK73" s="69" t="e">
        <f t="shared" ref="AK73:AO73" si="133">AK74+AK75</f>
        <v>#REF!</v>
      </c>
      <c r="AL73" s="90">
        <f t="shared" si="133"/>
        <v>1183.02</v>
      </c>
      <c r="AM73" s="69">
        <f t="shared" si="133"/>
        <v>785.88822013178606</v>
      </c>
      <c r="AN73" s="87" t="e">
        <f t="shared" si="133"/>
        <v>#REF!</v>
      </c>
      <c r="AO73" s="87" t="e">
        <f t="shared" si="133"/>
        <v>#REF!</v>
      </c>
      <c r="AP73" s="42" t="e">
        <f t="shared" ref="AP73:AP136" si="134">AO73/G73</f>
        <v>#REF!</v>
      </c>
      <c r="AQ73" s="89" t="e">
        <f>AQ74+AQ75</f>
        <v>#REF!</v>
      </c>
      <c r="AR73" s="43" t="e">
        <f t="shared" ref="AR73:AR136" si="135">AQ73/H73</f>
        <v>#REF!</v>
      </c>
      <c r="AS73" s="5"/>
      <c r="AT73" s="5"/>
      <c r="AU73" s="5"/>
      <c r="AV73" s="5"/>
      <c r="AW73" s="5"/>
      <c r="AX73" s="5"/>
      <c r="AY73" s="5"/>
      <c r="AZ73" s="5" t="s">
        <v>135</v>
      </c>
      <c r="BA73" s="5">
        <v>4325</v>
      </c>
      <c r="BB73" s="5"/>
      <c r="BC73" s="5"/>
      <c r="BD73" s="5"/>
      <c r="BE73" s="5"/>
      <c r="BF73" s="5"/>
      <c r="BG73" s="5"/>
      <c r="BH73" s="5"/>
      <c r="BI73" s="5"/>
      <c r="BJ73" s="5"/>
      <c r="BK73" s="5"/>
      <c r="BL73" s="5"/>
      <c r="BM73" s="5"/>
      <c r="BN73" s="5"/>
      <c r="BO73" s="5"/>
      <c r="BP73" s="5"/>
      <c r="BQ73" s="5"/>
      <c r="BR73" s="5"/>
      <c r="BS73" s="5"/>
      <c r="BT73" s="5"/>
      <c r="BU73" s="5"/>
      <c r="BV73" s="5"/>
      <c r="BW73" s="5"/>
    </row>
    <row r="74" ht="17" customHeight="1">
      <c r="A74" s="44"/>
      <c r="B74" s="72" t="s">
        <v>122</v>
      </c>
      <c r="C74" s="46">
        <v>2</v>
      </c>
      <c r="D74" s="46"/>
      <c r="E74" s="46"/>
      <c r="F74" s="46"/>
      <c r="G74" s="73"/>
      <c r="H74" s="73"/>
      <c r="I74" s="73"/>
      <c r="J74" s="59">
        <f t="shared" ref="J74:J88" si="136">SUM(K74:O74)</f>
        <v>0</v>
      </c>
      <c r="K74" s="59">
        <f t="shared" ref="K74:K88" si="137">IF(D74="",I74*0.2,0)</f>
        <v>0</v>
      </c>
      <c r="L74" s="59">
        <f t="shared" ref="L74:L88" si="138">IF(D74=2017,I74*0.4,0)</f>
        <v>0</v>
      </c>
      <c r="M74" s="59">
        <f t="shared" ref="M74:M88" si="139">IF(D74=2018,I74*0.6,0)</f>
        <v>0</v>
      </c>
      <c r="N74" s="59">
        <f t="shared" ref="N74:N88" si="140">IF(D74=2019,I74*0.8,0)</f>
        <v>0</v>
      </c>
      <c r="O74" s="59">
        <f t="shared" ref="O74:O88" si="141">IF(D74=2020,I74*1,0)</f>
        <v>0</v>
      </c>
      <c r="P74" s="59"/>
      <c r="Q74" s="59"/>
      <c r="R74" s="59">
        <f>N74*0.4+O74*0.6+P74*0.8+Q74*1</f>
        <v>0</v>
      </c>
      <c r="S74" s="59">
        <f>Q74-T74-U74-V74</f>
        <v>0</v>
      </c>
      <c r="T74" s="59"/>
      <c r="U74" s="59"/>
      <c r="V74" s="59"/>
      <c r="W74" s="59"/>
      <c r="X74" s="61"/>
      <c r="Y74" s="62"/>
      <c r="Z74" s="59"/>
      <c r="AA74" s="59"/>
      <c r="AB74" s="59"/>
      <c r="AC74" s="59"/>
      <c r="AD74" s="61"/>
      <c r="AE74" s="59"/>
      <c r="AF74" s="59"/>
      <c r="AG74" s="59"/>
      <c r="AH74" s="59"/>
      <c r="AI74" s="59"/>
      <c r="AJ74" s="62"/>
      <c r="AK74" s="59" t="e">
        <f>AJ74/$AJ$9*0.05*200000</f>
        <v>#REF!</v>
      </c>
      <c r="AL74" s="61"/>
      <c r="AM74" s="59">
        <f>(AL74/$AL$9)*0.05*200000</f>
        <v>0</v>
      </c>
      <c r="AN74" s="53" t="e">
        <f>ROUND(AM74+AK74+AE74+AC74+Z74+W74,0)</f>
        <v>#REF!</v>
      </c>
      <c r="AO74" s="53" t="e">
        <f t="shared" ref="AO74:AO88" si="142">AN74-G74</f>
        <v>#REF!</v>
      </c>
      <c r="AP74" s="42"/>
      <c r="AQ74" s="62" t="e">
        <f t="shared" ref="AQ74:AQ88" si="143">AN74-H74</f>
        <v>#REF!</v>
      </c>
      <c r="AR74" s="43"/>
      <c r="AZ74" s="5" t="s">
        <v>136</v>
      </c>
      <c r="BA74" s="5">
        <v>24903</v>
      </c>
    </row>
    <row r="75" s="74" customFormat="1" ht="17" customHeight="1">
      <c r="A75" s="75"/>
      <c r="B75" s="76" t="s">
        <v>76</v>
      </c>
      <c r="C75" s="77">
        <v>3</v>
      </c>
      <c r="D75" s="77"/>
      <c r="E75" s="77"/>
      <c r="F75" s="77"/>
      <c r="G75" s="91">
        <f>SUM(G76:G88)</f>
        <v>45384</v>
      </c>
      <c r="H75" s="91">
        <f>SUM(H76:H88)</f>
        <v>24995.203236433299</v>
      </c>
      <c r="I75" s="91">
        <f t="shared" ref="I75:O75" si="144">SUM(I76:I88)</f>
        <v>819007</v>
      </c>
      <c r="J75" s="79">
        <f t="shared" si="144"/>
        <v>527926.19999999995</v>
      </c>
      <c r="K75" s="79">
        <f t="shared" si="144"/>
        <v>39463.199999999997</v>
      </c>
      <c r="L75" s="79">
        <f t="shared" si="144"/>
        <v>13266.4</v>
      </c>
      <c r="M75" s="79">
        <f t="shared" si="144"/>
        <v>29035.200000000001</v>
      </c>
      <c r="N75" s="79">
        <f t="shared" si="144"/>
        <v>375886.40000000002</v>
      </c>
      <c r="O75" s="79">
        <f t="shared" si="144"/>
        <v>70275</v>
      </c>
      <c r="P75" s="79">
        <v>72742</v>
      </c>
      <c r="Q75" s="79">
        <f t="shared" ref="Q75:W75" si="145">SUM(Q76:Q88)</f>
        <v>75806</v>
      </c>
      <c r="R75" s="79">
        <f t="shared" si="145"/>
        <v>68978.199999999997</v>
      </c>
      <c r="S75" s="79">
        <f t="shared" si="145"/>
        <v>0</v>
      </c>
      <c r="T75" s="79">
        <f t="shared" si="145"/>
        <v>9109.2000000000007</v>
      </c>
      <c r="U75" s="79">
        <f t="shared" si="145"/>
        <v>3020</v>
      </c>
      <c r="V75" s="79">
        <f t="shared" si="145"/>
        <v>56849</v>
      </c>
      <c r="W75" s="79">
        <f t="shared" si="145"/>
        <v>9031.4910328200494</v>
      </c>
      <c r="X75" s="92"/>
      <c r="Y75" s="93">
        <f t="shared" ref="Y75:AI75" si="146">SUM(Y76:Y88)</f>
        <v>2.3610217596972598</v>
      </c>
      <c r="Z75" s="79">
        <f t="shared" si="146"/>
        <v>5872.6818516189896</v>
      </c>
      <c r="AA75" s="79">
        <v>49</v>
      </c>
      <c r="AB75" s="79">
        <f t="shared" si="146"/>
        <v>12356.529411764701</v>
      </c>
      <c r="AC75" s="79">
        <f t="shared" si="146"/>
        <v>12356.529411764701</v>
      </c>
      <c r="AD75" s="94">
        <f t="shared" si="146"/>
        <v>446161.40000000002</v>
      </c>
      <c r="AE75" s="79" t="e">
        <f t="shared" si="146"/>
        <v>#REF!</v>
      </c>
      <c r="AF75" s="91">
        <f t="shared" si="146"/>
        <v>0</v>
      </c>
      <c r="AG75" s="91">
        <f t="shared" si="146"/>
        <v>55</v>
      </c>
      <c r="AH75" s="91">
        <f t="shared" si="146"/>
        <v>1124.7427385892099</v>
      </c>
      <c r="AI75" s="79">
        <f t="shared" si="146"/>
        <v>0</v>
      </c>
      <c r="AJ75" s="93"/>
      <c r="AK75" s="79" t="e">
        <f t="shared" ref="AK75:AO75" si="147">SUM(AK76:AK88)</f>
        <v>#REF!</v>
      </c>
      <c r="AL75" s="94">
        <f t="shared" si="147"/>
        <v>1183.02</v>
      </c>
      <c r="AM75" s="79">
        <f t="shared" si="147"/>
        <v>785.88822013178606</v>
      </c>
      <c r="AN75" s="91" t="e">
        <f t="shared" si="147"/>
        <v>#REF!</v>
      </c>
      <c r="AO75" s="91" t="e">
        <f t="shared" si="147"/>
        <v>#REF!</v>
      </c>
      <c r="AP75" s="42" t="e">
        <f t="shared" si="134"/>
        <v>#REF!</v>
      </c>
      <c r="AQ75" s="93" t="e">
        <f>SUM(AQ76:AQ88)</f>
        <v>#REF!</v>
      </c>
      <c r="AR75" s="43" t="e">
        <f t="shared" si="135"/>
        <v>#REF!</v>
      </c>
      <c r="AS75" s="5"/>
      <c r="AT75" s="5"/>
      <c r="AU75" s="5"/>
      <c r="AV75" s="5"/>
      <c r="AW75" s="5"/>
      <c r="AX75" s="5"/>
      <c r="AY75" s="5"/>
      <c r="AZ75" s="5" t="s">
        <v>137</v>
      </c>
      <c r="BA75" s="5">
        <v>0</v>
      </c>
      <c r="BB75" s="5"/>
      <c r="BC75" s="5"/>
      <c r="BD75" s="5"/>
      <c r="BE75" s="5"/>
      <c r="BF75" s="5"/>
      <c r="BG75" s="5"/>
      <c r="BH75" s="5"/>
      <c r="BI75" s="5"/>
      <c r="BJ75" s="5"/>
      <c r="BK75" s="5"/>
      <c r="BL75" s="5"/>
      <c r="BM75" s="5"/>
      <c r="BN75" s="5"/>
      <c r="BO75" s="5"/>
      <c r="BP75" s="5"/>
      <c r="BQ75" s="5"/>
      <c r="BR75" s="5"/>
      <c r="BS75" s="5"/>
      <c r="BT75" s="5"/>
      <c r="BU75" s="5"/>
      <c r="BV75" s="5"/>
      <c r="BW75" s="5"/>
    </row>
    <row r="76" ht="17" customHeight="1">
      <c r="A76" s="46">
        <v>44</v>
      </c>
      <c r="B76" s="82" t="s">
        <v>123</v>
      </c>
      <c r="C76" s="46" t="s">
        <v>78</v>
      </c>
      <c r="D76" s="46"/>
      <c r="E76" s="46"/>
      <c r="F76" s="46"/>
      <c r="G76" s="73">
        <f t="shared" ref="G76:G88" si="148">VLOOKUP(B:B,$AZ:$BA,2,0)</f>
        <v>1259</v>
      </c>
      <c r="H76" s="73">
        <f t="shared" ref="H76:H88" si="149">G76*210000/381298.76</f>
        <v>693.39328562201501</v>
      </c>
      <c r="I76" s="73">
        <v>11957</v>
      </c>
      <c r="J76" s="59">
        <f t="shared" si="136"/>
        <v>2391.4000000000001</v>
      </c>
      <c r="K76" s="59">
        <f t="shared" si="137"/>
        <v>2391.4000000000001</v>
      </c>
      <c r="L76" s="59">
        <f t="shared" si="138"/>
        <v>0</v>
      </c>
      <c r="M76" s="59">
        <f t="shared" si="139"/>
        <v>0</v>
      </c>
      <c r="N76" s="59">
        <f t="shared" si="140"/>
        <v>0</v>
      </c>
      <c r="O76" s="59">
        <f t="shared" si="141"/>
        <v>0</v>
      </c>
      <c r="P76" s="59">
        <v>1374</v>
      </c>
      <c r="Q76" s="59">
        <v>2096</v>
      </c>
      <c r="R76" s="59">
        <f t="shared" ref="R76:R88" si="150">S76+T76+U76+V76</f>
        <v>1257.5999999999999</v>
      </c>
      <c r="S76" s="59"/>
      <c r="T76" s="59">
        <f t="shared" ref="T76:T82" si="151">Q76*0.6</f>
        <v>1257.5999999999999</v>
      </c>
      <c r="U76" s="59"/>
      <c r="V76" s="59"/>
      <c r="W76" s="59">
        <f t="shared" ref="W76:W88" si="152">(J76/$J$9*0.2+P76/$P$9*0.05+R76/$R$9*0.05)*299423</f>
        <v>74.887136402985206</v>
      </c>
      <c r="X76" s="61">
        <v>18382</v>
      </c>
      <c r="Y76" s="62">
        <f t="shared" ref="Y76:Y88" si="153">IF(X76&lt;12842,(12842-X76)/(12842-$X$175),0)</f>
        <v>0</v>
      </c>
      <c r="Z76" s="59">
        <f t="shared" ref="Z76:Z88" si="154">(Y76/$Y$9*0.15)*299423</f>
        <v>0</v>
      </c>
      <c r="AA76" s="59"/>
      <c r="AB76" s="59"/>
      <c r="AC76" s="59"/>
      <c r="AD76" s="61"/>
      <c r="AE76" s="59">
        <f t="shared" ref="AE76:AE88" si="155">AD76/$AD$9*71500</f>
        <v>0</v>
      </c>
      <c r="AF76" s="59"/>
      <c r="AG76" s="59">
        <v>5</v>
      </c>
      <c r="AH76" s="59">
        <f t="shared" ref="AH76:AH84" si="156">AG76/$AG$13*9347</f>
        <v>193.92116182572599</v>
      </c>
      <c r="AI76" s="59"/>
      <c r="AJ76" s="62" t="e">
        <f>VLOOKUP(B:B,表6资金使用成效（12月30日）!B:L,11,0)</f>
        <v>#REF!</v>
      </c>
      <c r="AK76" s="59" t="e">
        <f t="shared" ref="AK76:AK88" si="157">AJ76/$AJ$9*0.025*299423</f>
        <v>#REF!</v>
      </c>
      <c r="AL76" s="61">
        <v>92.189999999999998</v>
      </c>
      <c r="AM76" s="59">
        <f t="shared" ref="AM76:AM88" si="158">(AL76/$AL$9)*0.025*299423</f>
        <v>61.242443081223797</v>
      </c>
      <c r="AN76" s="53" t="e">
        <f t="shared" ref="AN76:AN88" si="159">ROUND(AM76+AK76+AE76+AC76+Z76+W76+AI76+AF76,0)</f>
        <v>#REF!</v>
      </c>
      <c r="AO76" s="53" t="e">
        <f t="shared" si="142"/>
        <v>#REF!</v>
      </c>
      <c r="AP76" s="42" t="e">
        <f t="shared" si="134"/>
        <v>#REF!</v>
      </c>
      <c r="AQ76" s="59" t="e">
        <f t="shared" si="143"/>
        <v>#REF!</v>
      </c>
      <c r="AR76" s="43" t="e">
        <f t="shared" si="135"/>
        <v>#REF!</v>
      </c>
      <c r="AZ76" s="5" t="s">
        <v>138</v>
      </c>
      <c r="BA76" s="5">
        <v>1214</v>
      </c>
    </row>
    <row r="77" ht="17" customHeight="1">
      <c r="A77" s="46">
        <v>45</v>
      </c>
      <c r="B77" s="82" t="s">
        <v>124</v>
      </c>
      <c r="C77" s="46" t="s">
        <v>78</v>
      </c>
      <c r="D77" s="46"/>
      <c r="E77" s="46"/>
      <c r="F77" s="46"/>
      <c r="G77" s="73">
        <f t="shared" si="148"/>
        <v>3056</v>
      </c>
      <c r="H77" s="73">
        <f t="shared" si="149"/>
        <v>1683.08965914287</v>
      </c>
      <c r="I77" s="73">
        <v>22408</v>
      </c>
      <c r="J77" s="59">
        <f t="shared" si="136"/>
        <v>4481.6000000000004</v>
      </c>
      <c r="K77" s="59">
        <f t="shared" si="137"/>
        <v>4481.6000000000004</v>
      </c>
      <c r="L77" s="59">
        <f t="shared" si="138"/>
        <v>0</v>
      </c>
      <c r="M77" s="59">
        <f t="shared" si="139"/>
        <v>0</v>
      </c>
      <c r="N77" s="59">
        <f t="shared" si="140"/>
        <v>0</v>
      </c>
      <c r="O77" s="59">
        <f t="shared" si="141"/>
        <v>0</v>
      </c>
      <c r="P77" s="59">
        <v>1314</v>
      </c>
      <c r="Q77" s="59">
        <v>1046</v>
      </c>
      <c r="R77" s="59">
        <f t="shared" si="150"/>
        <v>627.60000000000002</v>
      </c>
      <c r="S77" s="59"/>
      <c r="T77" s="59">
        <f t="shared" si="151"/>
        <v>627.60000000000002</v>
      </c>
      <c r="U77" s="59"/>
      <c r="V77" s="59"/>
      <c r="W77" s="59">
        <f t="shared" si="152"/>
        <v>89.863603199145004</v>
      </c>
      <c r="X77" s="61">
        <v>18229</v>
      </c>
      <c r="Y77" s="62">
        <f t="shared" si="153"/>
        <v>0</v>
      </c>
      <c r="Z77" s="59">
        <f t="shared" si="154"/>
        <v>0</v>
      </c>
      <c r="AA77" s="59"/>
      <c r="AB77" s="59"/>
      <c r="AC77" s="59"/>
      <c r="AD77" s="61"/>
      <c r="AE77" s="59">
        <f t="shared" si="155"/>
        <v>0</v>
      </c>
      <c r="AF77" s="59"/>
      <c r="AG77" s="59">
        <v>7</v>
      </c>
      <c r="AH77" s="59">
        <f t="shared" si="156"/>
        <v>271.48962655601701</v>
      </c>
      <c r="AI77" s="59"/>
      <c r="AJ77" s="62" t="e">
        <f>VLOOKUP(B:B,表6资金使用成效（12月30日）!B:L,11,0)</f>
        <v>#REF!</v>
      </c>
      <c r="AK77" s="59" t="e">
        <f t="shared" si="157"/>
        <v>#REF!</v>
      </c>
      <c r="AL77" s="61">
        <v>91.060000000000002</v>
      </c>
      <c r="AM77" s="59">
        <f t="shared" si="158"/>
        <v>60.491776407161701</v>
      </c>
      <c r="AN77" s="53" t="e">
        <f t="shared" si="159"/>
        <v>#REF!</v>
      </c>
      <c r="AO77" s="53" t="e">
        <f t="shared" si="142"/>
        <v>#REF!</v>
      </c>
      <c r="AP77" s="42" t="e">
        <f t="shared" si="134"/>
        <v>#REF!</v>
      </c>
      <c r="AQ77" s="59" t="e">
        <f t="shared" si="143"/>
        <v>#REF!</v>
      </c>
      <c r="AR77" s="43" t="e">
        <f t="shared" si="135"/>
        <v>#REF!</v>
      </c>
      <c r="AZ77" s="5" t="s">
        <v>139</v>
      </c>
      <c r="BA77" s="5">
        <v>870</v>
      </c>
    </row>
    <row r="78" ht="17" customHeight="1">
      <c r="A78" s="46">
        <v>46</v>
      </c>
      <c r="B78" s="82" t="s">
        <v>125</v>
      </c>
      <c r="C78" s="46" t="s">
        <v>78</v>
      </c>
      <c r="D78" s="46"/>
      <c r="E78" s="46"/>
      <c r="F78" s="46"/>
      <c r="G78" s="73">
        <f t="shared" si="148"/>
        <v>4229</v>
      </c>
      <c r="H78" s="73">
        <f t="shared" si="149"/>
        <v>2329.1185106397902</v>
      </c>
      <c r="I78" s="73">
        <v>58704</v>
      </c>
      <c r="J78" s="59">
        <f t="shared" si="136"/>
        <v>11740.799999999999</v>
      </c>
      <c r="K78" s="59">
        <f t="shared" si="137"/>
        <v>11740.799999999999</v>
      </c>
      <c r="L78" s="59">
        <f t="shared" si="138"/>
        <v>0</v>
      </c>
      <c r="M78" s="59">
        <f t="shared" si="139"/>
        <v>0</v>
      </c>
      <c r="N78" s="59">
        <f t="shared" si="140"/>
        <v>0</v>
      </c>
      <c r="O78" s="59">
        <f t="shared" si="141"/>
        <v>0</v>
      </c>
      <c r="P78" s="59">
        <v>3062</v>
      </c>
      <c r="Q78" s="59">
        <v>2836</v>
      </c>
      <c r="R78" s="59">
        <f t="shared" si="150"/>
        <v>1701.5999999999999</v>
      </c>
      <c r="S78" s="59"/>
      <c r="T78" s="59">
        <f t="shared" si="151"/>
        <v>1701.5999999999999</v>
      </c>
      <c r="U78" s="59"/>
      <c r="V78" s="59"/>
      <c r="W78" s="59">
        <f t="shared" si="152"/>
        <v>229.50948063956301</v>
      </c>
      <c r="X78" s="61">
        <v>16559</v>
      </c>
      <c r="Y78" s="62">
        <f t="shared" si="153"/>
        <v>0</v>
      </c>
      <c r="Z78" s="59">
        <f t="shared" si="154"/>
        <v>0</v>
      </c>
      <c r="AA78" s="59"/>
      <c r="AB78" s="59"/>
      <c r="AC78" s="59"/>
      <c r="AD78" s="61"/>
      <c r="AE78" s="59">
        <f t="shared" si="155"/>
        <v>0</v>
      </c>
      <c r="AF78" s="59"/>
      <c r="AG78" s="59">
        <v>6</v>
      </c>
      <c r="AH78" s="59">
        <f t="shared" si="156"/>
        <v>232.705394190871</v>
      </c>
      <c r="AI78" s="59"/>
      <c r="AJ78" s="62" t="e">
        <f>VLOOKUP(B:B,表6资金使用成效（12月30日）!B:L,11,0)</f>
        <v>#REF!</v>
      </c>
      <c r="AK78" s="59" t="e">
        <f t="shared" si="157"/>
        <v>#REF!</v>
      </c>
      <c r="AL78" s="61">
        <v>90</v>
      </c>
      <c r="AM78" s="59">
        <f t="shared" si="158"/>
        <v>59.787611208484002</v>
      </c>
      <c r="AN78" s="53" t="e">
        <f t="shared" si="159"/>
        <v>#REF!</v>
      </c>
      <c r="AO78" s="53" t="e">
        <f t="shared" si="142"/>
        <v>#REF!</v>
      </c>
      <c r="AP78" s="42" t="e">
        <f t="shared" si="134"/>
        <v>#REF!</v>
      </c>
      <c r="AQ78" s="59" t="e">
        <f t="shared" si="143"/>
        <v>#REF!</v>
      </c>
      <c r="AR78" s="43" t="e">
        <f t="shared" si="135"/>
        <v>#REF!</v>
      </c>
      <c r="AZ78" s="5" t="s">
        <v>140</v>
      </c>
      <c r="BA78" s="5">
        <v>1067</v>
      </c>
    </row>
    <row r="79" ht="17" customHeight="1">
      <c r="A79" s="46">
        <v>47</v>
      </c>
      <c r="B79" s="82" t="s">
        <v>127</v>
      </c>
      <c r="C79" s="46" t="s">
        <v>78</v>
      </c>
      <c r="D79" s="46"/>
      <c r="E79" s="46"/>
      <c r="F79" s="46"/>
      <c r="G79" s="73">
        <f t="shared" si="148"/>
        <v>2670</v>
      </c>
      <c r="H79" s="73">
        <f t="shared" si="149"/>
        <v>1470.50045481396</v>
      </c>
      <c r="I79" s="73">
        <v>48521</v>
      </c>
      <c r="J79" s="59">
        <f t="shared" si="136"/>
        <v>9704.2000000000007</v>
      </c>
      <c r="K79" s="59">
        <f t="shared" si="137"/>
        <v>9704.2000000000007</v>
      </c>
      <c r="L79" s="59">
        <f t="shared" si="138"/>
        <v>0</v>
      </c>
      <c r="M79" s="59">
        <f t="shared" si="139"/>
        <v>0</v>
      </c>
      <c r="N79" s="59">
        <f t="shared" si="140"/>
        <v>0</v>
      </c>
      <c r="O79" s="59">
        <f t="shared" si="141"/>
        <v>0</v>
      </c>
      <c r="P79" s="59">
        <v>3699</v>
      </c>
      <c r="Q79" s="59">
        <v>1464</v>
      </c>
      <c r="R79" s="59">
        <f t="shared" si="150"/>
        <v>878.39999999999998</v>
      </c>
      <c r="S79" s="59"/>
      <c r="T79" s="59">
        <f t="shared" si="151"/>
        <v>878.39999999999998</v>
      </c>
      <c r="U79" s="59"/>
      <c r="V79" s="59"/>
      <c r="W79" s="59">
        <f t="shared" si="152"/>
        <v>202.20026064515201</v>
      </c>
      <c r="X79" s="61">
        <v>16560</v>
      </c>
      <c r="Y79" s="62">
        <f t="shared" si="153"/>
        <v>0</v>
      </c>
      <c r="Z79" s="59">
        <f t="shared" si="154"/>
        <v>0</v>
      </c>
      <c r="AA79" s="59"/>
      <c r="AB79" s="59"/>
      <c r="AC79" s="59"/>
      <c r="AD79" s="61"/>
      <c r="AE79" s="59">
        <f t="shared" si="155"/>
        <v>0</v>
      </c>
      <c r="AF79" s="59"/>
      <c r="AG79" s="59">
        <v>6</v>
      </c>
      <c r="AH79" s="59">
        <f t="shared" si="156"/>
        <v>232.705394190871</v>
      </c>
      <c r="AI79" s="59"/>
      <c r="AJ79" s="62" t="e">
        <f>VLOOKUP(B:B,表6资金使用成效（12月30日）!B:L,11,0)</f>
        <v>#REF!</v>
      </c>
      <c r="AK79" s="59" t="e">
        <f t="shared" si="157"/>
        <v>#REF!</v>
      </c>
      <c r="AL79" s="61">
        <v>95.689999999999998</v>
      </c>
      <c r="AM79" s="59">
        <f t="shared" si="158"/>
        <v>63.567516850442601</v>
      </c>
      <c r="AN79" s="53" t="e">
        <f t="shared" si="159"/>
        <v>#REF!</v>
      </c>
      <c r="AO79" s="53" t="e">
        <f t="shared" si="142"/>
        <v>#REF!</v>
      </c>
      <c r="AP79" s="42" t="e">
        <f t="shared" si="134"/>
        <v>#REF!</v>
      </c>
      <c r="AQ79" s="59" t="e">
        <f t="shared" si="143"/>
        <v>#REF!</v>
      </c>
      <c r="AR79" s="43" t="e">
        <f t="shared" si="135"/>
        <v>#REF!</v>
      </c>
      <c r="AZ79" s="5" t="s">
        <v>141</v>
      </c>
      <c r="BA79" s="5">
        <v>2861</v>
      </c>
    </row>
    <row r="80" ht="17" customHeight="1">
      <c r="A80" s="46">
        <v>48</v>
      </c>
      <c r="B80" s="82" t="s">
        <v>128</v>
      </c>
      <c r="C80" s="46" t="s">
        <v>90</v>
      </c>
      <c r="D80" s="46">
        <v>2017</v>
      </c>
      <c r="E80" s="46"/>
      <c r="F80" s="46"/>
      <c r="G80" s="73">
        <f t="shared" si="148"/>
        <v>1029</v>
      </c>
      <c r="H80" s="73">
        <f t="shared" si="149"/>
        <v>566.72096179908897</v>
      </c>
      <c r="I80" s="73">
        <v>33166</v>
      </c>
      <c r="J80" s="59">
        <f t="shared" si="136"/>
        <v>13266.4</v>
      </c>
      <c r="K80" s="59">
        <f t="shared" si="137"/>
        <v>0</v>
      </c>
      <c r="L80" s="59">
        <f t="shared" si="138"/>
        <v>13266.4</v>
      </c>
      <c r="M80" s="59">
        <f t="shared" si="139"/>
        <v>0</v>
      </c>
      <c r="N80" s="59">
        <f t="shared" si="140"/>
        <v>0</v>
      </c>
      <c r="O80" s="59">
        <f t="shared" si="141"/>
        <v>0</v>
      </c>
      <c r="P80" s="59">
        <v>2281</v>
      </c>
      <c r="Q80" s="59">
        <v>2719</v>
      </c>
      <c r="R80" s="59">
        <f t="shared" si="150"/>
        <v>1631.4000000000001</v>
      </c>
      <c r="S80" s="59"/>
      <c r="T80" s="59">
        <f t="shared" si="151"/>
        <v>1631.4000000000001</v>
      </c>
      <c r="U80" s="59"/>
      <c r="V80" s="59"/>
      <c r="W80" s="59">
        <f t="shared" si="152"/>
        <v>233.45745083579601</v>
      </c>
      <c r="X80" s="61">
        <v>15137</v>
      </c>
      <c r="Y80" s="62">
        <f t="shared" si="153"/>
        <v>0</v>
      </c>
      <c r="Z80" s="59">
        <f t="shared" si="154"/>
        <v>0</v>
      </c>
      <c r="AA80" s="59"/>
      <c r="AB80" s="59"/>
      <c r="AC80" s="59"/>
      <c r="AD80" s="61"/>
      <c r="AE80" s="59">
        <f t="shared" si="155"/>
        <v>0</v>
      </c>
      <c r="AF80" s="59"/>
      <c r="AG80" s="59">
        <v>5</v>
      </c>
      <c r="AH80" s="59"/>
      <c r="AI80" s="59"/>
      <c r="AJ80" s="62" t="e">
        <f>VLOOKUP(B:B,表6资金使用成效（12月30日）!B:L,11,0)</f>
        <v>#REF!</v>
      </c>
      <c r="AK80" s="59" t="e">
        <f t="shared" si="157"/>
        <v>#REF!</v>
      </c>
      <c r="AL80" s="61">
        <v>92.980000000000004</v>
      </c>
      <c r="AM80" s="59">
        <f t="shared" si="158"/>
        <v>61.767245446276</v>
      </c>
      <c r="AN80" s="53" t="e">
        <f t="shared" si="159"/>
        <v>#REF!</v>
      </c>
      <c r="AO80" s="53" t="e">
        <f t="shared" si="142"/>
        <v>#REF!</v>
      </c>
      <c r="AP80" s="42" t="e">
        <f t="shared" si="134"/>
        <v>#REF!</v>
      </c>
      <c r="AQ80" s="59" t="e">
        <f t="shared" si="143"/>
        <v>#REF!</v>
      </c>
      <c r="AR80" s="43" t="e">
        <f t="shared" si="135"/>
        <v>#REF!</v>
      </c>
      <c r="AZ80" s="5" t="s">
        <v>142</v>
      </c>
      <c r="BA80" s="5">
        <v>2817</v>
      </c>
    </row>
    <row r="81" ht="17" customHeight="1">
      <c r="A81" s="46">
        <v>49</v>
      </c>
      <c r="B81" s="82" t="s">
        <v>129</v>
      </c>
      <c r="C81" s="46" t="s">
        <v>78</v>
      </c>
      <c r="D81" s="46"/>
      <c r="E81" s="46"/>
      <c r="F81" s="46"/>
      <c r="G81" s="73">
        <f t="shared" si="148"/>
        <v>2076</v>
      </c>
      <c r="H81" s="73">
        <f t="shared" si="149"/>
        <v>1143.35540981041</v>
      </c>
      <c r="I81" s="73">
        <v>42543</v>
      </c>
      <c r="J81" s="59">
        <f t="shared" si="136"/>
        <v>8508.6000000000004</v>
      </c>
      <c r="K81" s="59">
        <f t="shared" si="137"/>
        <v>8508.6000000000004</v>
      </c>
      <c r="L81" s="59">
        <f t="shared" si="138"/>
        <v>0</v>
      </c>
      <c r="M81" s="59">
        <f t="shared" si="139"/>
        <v>0</v>
      </c>
      <c r="N81" s="59">
        <f t="shared" si="140"/>
        <v>0</v>
      </c>
      <c r="O81" s="59">
        <f t="shared" si="141"/>
        <v>0</v>
      </c>
      <c r="P81" s="59">
        <v>5322</v>
      </c>
      <c r="Q81" s="59">
        <v>2092</v>
      </c>
      <c r="R81" s="59">
        <f t="shared" si="150"/>
        <v>1255.2</v>
      </c>
      <c r="S81" s="59"/>
      <c r="T81" s="59">
        <f t="shared" si="151"/>
        <v>1255.2</v>
      </c>
      <c r="U81" s="59"/>
      <c r="V81" s="59"/>
      <c r="W81" s="59">
        <f t="shared" si="152"/>
        <v>222.45253707863901</v>
      </c>
      <c r="X81" s="61">
        <v>16061</v>
      </c>
      <c r="Y81" s="62">
        <f t="shared" si="153"/>
        <v>0</v>
      </c>
      <c r="Z81" s="59">
        <f t="shared" si="154"/>
        <v>0</v>
      </c>
      <c r="AA81" s="59"/>
      <c r="AB81" s="59"/>
      <c r="AC81" s="59"/>
      <c r="AD81" s="61"/>
      <c r="AE81" s="59">
        <f t="shared" si="155"/>
        <v>0</v>
      </c>
      <c r="AF81" s="59"/>
      <c r="AG81" s="59">
        <v>5</v>
      </c>
      <c r="AH81" s="59">
        <f t="shared" si="156"/>
        <v>193.92116182572599</v>
      </c>
      <c r="AI81" s="59"/>
      <c r="AJ81" s="62" t="e">
        <f>VLOOKUP(B:B,表6资金使用成效（12月30日）!B:L,11,0)</f>
        <v>#REF!</v>
      </c>
      <c r="AK81" s="59" t="e">
        <f t="shared" si="157"/>
        <v>#REF!</v>
      </c>
      <c r="AL81" s="61">
        <v>98.739999999999995</v>
      </c>
      <c r="AM81" s="59">
        <f t="shared" si="158"/>
        <v>65.593652563619003</v>
      </c>
      <c r="AN81" s="53" t="e">
        <f t="shared" si="159"/>
        <v>#REF!</v>
      </c>
      <c r="AO81" s="53" t="e">
        <f t="shared" si="142"/>
        <v>#REF!</v>
      </c>
      <c r="AP81" s="42" t="e">
        <f t="shared" si="134"/>
        <v>#REF!</v>
      </c>
      <c r="AQ81" s="59" t="e">
        <f t="shared" si="143"/>
        <v>#REF!</v>
      </c>
      <c r="AR81" s="43" t="e">
        <f t="shared" si="135"/>
        <v>#REF!</v>
      </c>
      <c r="AZ81" s="5" t="s">
        <v>143</v>
      </c>
      <c r="BA81" s="5">
        <v>1047</v>
      </c>
    </row>
    <row r="82" ht="17" customHeight="1">
      <c r="A82" s="46">
        <v>50</v>
      </c>
      <c r="B82" s="82" t="s">
        <v>130</v>
      </c>
      <c r="C82" s="46" t="s">
        <v>90</v>
      </c>
      <c r="D82" s="46">
        <v>2018</v>
      </c>
      <c r="E82" s="46"/>
      <c r="F82" s="46"/>
      <c r="G82" s="73">
        <f t="shared" si="148"/>
        <v>1136</v>
      </c>
      <c r="H82" s="73">
        <f t="shared" si="149"/>
        <v>625.65112983844995</v>
      </c>
      <c r="I82" s="73">
        <v>48392</v>
      </c>
      <c r="J82" s="59">
        <f t="shared" si="136"/>
        <v>29035.200000000001</v>
      </c>
      <c r="K82" s="59">
        <f t="shared" si="137"/>
        <v>0</v>
      </c>
      <c r="L82" s="59">
        <f t="shared" si="138"/>
        <v>0</v>
      </c>
      <c r="M82" s="59">
        <f t="shared" si="139"/>
        <v>29035.200000000001</v>
      </c>
      <c r="N82" s="59">
        <f t="shared" si="140"/>
        <v>0</v>
      </c>
      <c r="O82" s="59">
        <f t="shared" si="141"/>
        <v>0</v>
      </c>
      <c r="P82" s="59">
        <v>5761</v>
      </c>
      <c r="Q82" s="59">
        <v>2929</v>
      </c>
      <c r="R82" s="59">
        <f t="shared" si="150"/>
        <v>1757.4000000000001</v>
      </c>
      <c r="S82" s="59"/>
      <c r="T82" s="59">
        <f t="shared" si="151"/>
        <v>1757.4000000000001</v>
      </c>
      <c r="U82" s="59"/>
      <c r="V82" s="59"/>
      <c r="W82" s="59">
        <f t="shared" si="152"/>
        <v>495.60373768058201</v>
      </c>
      <c r="X82" s="61">
        <v>14825</v>
      </c>
      <c r="Y82" s="62">
        <f t="shared" si="153"/>
        <v>0</v>
      </c>
      <c r="Z82" s="59">
        <f t="shared" si="154"/>
        <v>0</v>
      </c>
      <c r="AA82" s="59"/>
      <c r="AB82" s="59"/>
      <c r="AC82" s="59"/>
      <c r="AD82" s="61"/>
      <c r="AE82" s="59">
        <f t="shared" si="155"/>
        <v>0</v>
      </c>
      <c r="AF82" s="59"/>
      <c r="AG82" s="59">
        <v>5</v>
      </c>
      <c r="AH82" s="59"/>
      <c r="AI82" s="59"/>
      <c r="AJ82" s="62" t="e">
        <f>VLOOKUP(B:B,表6资金使用成效（12月30日）!B:L,11,0)</f>
        <v>#REF!</v>
      </c>
      <c r="AK82" s="59" t="e">
        <f t="shared" si="157"/>
        <v>#REF!</v>
      </c>
      <c r="AL82" s="61">
        <v>90.170000000000002</v>
      </c>
      <c r="AM82" s="59">
        <f t="shared" si="158"/>
        <v>59.900543362988898</v>
      </c>
      <c r="AN82" s="53" t="e">
        <f t="shared" si="159"/>
        <v>#REF!</v>
      </c>
      <c r="AO82" s="53" t="e">
        <f t="shared" si="142"/>
        <v>#REF!</v>
      </c>
      <c r="AP82" s="42" t="e">
        <f t="shared" si="134"/>
        <v>#REF!</v>
      </c>
      <c r="AQ82" s="59" t="e">
        <f t="shared" si="143"/>
        <v>#REF!</v>
      </c>
      <c r="AR82" s="43" t="e">
        <f t="shared" si="135"/>
        <v>#REF!</v>
      </c>
      <c r="AZ82" s="5" t="s">
        <v>144</v>
      </c>
      <c r="BA82" s="5">
        <v>13131</v>
      </c>
    </row>
    <row r="83" ht="17" customHeight="1">
      <c r="A83" s="46">
        <v>51</v>
      </c>
      <c r="B83" s="82" t="s">
        <v>126</v>
      </c>
      <c r="C83" s="46" t="s">
        <v>90</v>
      </c>
      <c r="D83" s="46">
        <v>2020</v>
      </c>
      <c r="E83" s="46" t="s">
        <v>91</v>
      </c>
      <c r="F83" s="46"/>
      <c r="G83" s="73">
        <f t="shared" si="148"/>
        <v>6816</v>
      </c>
      <c r="H83" s="73">
        <f t="shared" si="149"/>
        <v>3753.9067790306999</v>
      </c>
      <c r="I83" s="73">
        <v>70275</v>
      </c>
      <c r="J83" s="59">
        <f t="shared" si="136"/>
        <v>70275</v>
      </c>
      <c r="K83" s="59">
        <f t="shared" si="137"/>
        <v>0</v>
      </c>
      <c r="L83" s="59">
        <f t="shared" si="138"/>
        <v>0</v>
      </c>
      <c r="M83" s="59">
        <f t="shared" si="139"/>
        <v>0</v>
      </c>
      <c r="N83" s="59">
        <f t="shared" si="140"/>
        <v>0</v>
      </c>
      <c r="O83" s="59">
        <f t="shared" si="141"/>
        <v>70275</v>
      </c>
      <c r="P83" s="59">
        <v>3906</v>
      </c>
      <c r="Q83" s="59">
        <v>10471</v>
      </c>
      <c r="R83" s="59">
        <f t="shared" si="150"/>
        <v>10471</v>
      </c>
      <c r="S83" s="59"/>
      <c r="T83" s="59"/>
      <c r="U83" s="59"/>
      <c r="V83" s="59">
        <f t="shared" ref="V83:V88" si="160">Q83*1</f>
        <v>10471</v>
      </c>
      <c r="W83" s="59">
        <f t="shared" si="152"/>
        <v>1119.12669843714</v>
      </c>
      <c r="X83" s="61">
        <v>10474</v>
      </c>
      <c r="Y83" s="62">
        <f t="shared" si="153"/>
        <v>0.44806054872279999</v>
      </c>
      <c r="Z83" s="59">
        <f t="shared" si="154"/>
        <v>1114.48233888714</v>
      </c>
      <c r="AA83" s="59"/>
      <c r="AB83" s="59"/>
      <c r="AC83" s="59"/>
      <c r="AD83" s="61">
        <f t="shared" ref="AD83:AD88" si="161">J83</f>
        <v>70275</v>
      </c>
      <c r="AE83" s="59" t="e">
        <f>H83-W83-Z83-AC83-AK83-AM83</f>
        <v>#REF!</v>
      </c>
      <c r="AF83" s="59"/>
      <c r="AG83" s="59">
        <v>5</v>
      </c>
      <c r="AH83" s="59"/>
      <c r="AI83" s="59"/>
      <c r="AJ83" s="62" t="e">
        <f>VLOOKUP(B:B,表6资金使用成效（12月30日）!B:L,11,0)</f>
        <v>#REF!</v>
      </c>
      <c r="AK83" s="59" t="e">
        <f t="shared" si="157"/>
        <v>#REF!</v>
      </c>
      <c r="AL83" s="61">
        <v>82.420000000000002</v>
      </c>
      <c r="AM83" s="59">
        <f t="shared" si="158"/>
        <v>54.752165731147301</v>
      </c>
      <c r="AN83" s="53" t="e">
        <f t="shared" si="159"/>
        <v>#REF!</v>
      </c>
      <c r="AO83" s="53" t="e">
        <f t="shared" si="142"/>
        <v>#REF!</v>
      </c>
      <c r="AP83" s="42" t="e">
        <f t="shared" si="134"/>
        <v>#REF!</v>
      </c>
      <c r="AQ83" s="59" t="e">
        <f t="shared" si="143"/>
        <v>#REF!</v>
      </c>
      <c r="AR83" s="43" t="e">
        <f t="shared" si="135"/>
        <v>#REF!</v>
      </c>
      <c r="AZ83" s="5" t="s">
        <v>145</v>
      </c>
      <c r="BA83" s="5">
        <v>1896</v>
      </c>
    </row>
    <row r="84" ht="17" customHeight="1">
      <c r="A84" s="46">
        <v>52</v>
      </c>
      <c r="B84" s="82" t="s">
        <v>135</v>
      </c>
      <c r="C84" s="46" t="s">
        <v>78</v>
      </c>
      <c r="D84" s="46"/>
      <c r="E84" s="46"/>
      <c r="F84" s="46" t="s">
        <v>146</v>
      </c>
      <c r="G84" s="73">
        <f t="shared" si="148"/>
        <v>4325</v>
      </c>
      <c r="H84" s="73">
        <f t="shared" si="149"/>
        <v>2381.9904371050102</v>
      </c>
      <c r="I84" s="73">
        <v>13183</v>
      </c>
      <c r="J84" s="59">
        <f t="shared" si="136"/>
        <v>2636.5999999999999</v>
      </c>
      <c r="K84" s="59">
        <f t="shared" si="137"/>
        <v>2636.5999999999999</v>
      </c>
      <c r="L84" s="59">
        <f t="shared" si="138"/>
        <v>0</v>
      </c>
      <c r="M84" s="59">
        <f t="shared" si="139"/>
        <v>0</v>
      </c>
      <c r="N84" s="59">
        <f t="shared" si="140"/>
        <v>0</v>
      </c>
      <c r="O84" s="59">
        <f t="shared" si="141"/>
        <v>0</v>
      </c>
      <c r="P84" s="59">
        <v>1561</v>
      </c>
      <c r="Q84" s="59">
        <v>3775</v>
      </c>
      <c r="R84" s="59">
        <f t="shared" si="150"/>
        <v>3020</v>
      </c>
      <c r="S84" s="59"/>
      <c r="T84" s="59"/>
      <c r="U84" s="59">
        <f>Q84*0.8</f>
        <v>3020</v>
      </c>
      <c r="V84" s="59"/>
      <c r="W84" s="59">
        <f t="shared" si="152"/>
        <v>109.66909775875899</v>
      </c>
      <c r="X84" s="61">
        <v>14973</v>
      </c>
      <c r="Y84" s="62">
        <f t="shared" si="153"/>
        <v>0</v>
      </c>
      <c r="Z84" s="59">
        <f t="shared" si="154"/>
        <v>0</v>
      </c>
      <c r="AA84" s="59">
        <v>15</v>
      </c>
      <c r="AB84" s="59">
        <f>VLOOKUP(B:B,小康村到县资金!C:I,7,0)</f>
        <v>11120.6176470588</v>
      </c>
      <c r="AC84" s="59">
        <v>11120.6176470588</v>
      </c>
      <c r="AD84" s="61"/>
      <c r="AE84" s="59">
        <f t="shared" si="155"/>
        <v>0</v>
      </c>
      <c r="AF84" s="59"/>
      <c r="AG84" s="59"/>
      <c r="AH84" s="59">
        <f t="shared" si="156"/>
        <v>0</v>
      </c>
      <c r="AI84" s="59"/>
      <c r="AJ84" s="62" t="e">
        <f>VLOOKUP(B:B,表6资金使用成效（12月30日）!B:L,11,0)</f>
        <v>#REF!</v>
      </c>
      <c r="AK84" s="59" t="e">
        <f t="shared" si="157"/>
        <v>#REF!</v>
      </c>
      <c r="AL84" s="61">
        <v>90.25</v>
      </c>
      <c r="AM84" s="59">
        <f t="shared" si="158"/>
        <v>59.953687906285403</v>
      </c>
      <c r="AN84" s="53" t="e">
        <f t="shared" si="159"/>
        <v>#REF!</v>
      </c>
      <c r="AO84" s="53" t="e">
        <f t="shared" si="142"/>
        <v>#REF!</v>
      </c>
      <c r="AP84" s="42" t="e">
        <f t="shared" si="134"/>
        <v>#REF!</v>
      </c>
      <c r="AQ84" s="59" t="e">
        <f t="shared" si="143"/>
        <v>#REF!</v>
      </c>
      <c r="AR84" s="43" t="e">
        <f t="shared" si="135"/>
        <v>#REF!</v>
      </c>
      <c r="AZ84" s="5" t="s">
        <v>147</v>
      </c>
      <c r="BA84" s="5">
        <v>30824</v>
      </c>
    </row>
    <row r="85" ht="17" customHeight="1">
      <c r="A85" s="46">
        <v>53</v>
      </c>
      <c r="B85" s="82" t="s">
        <v>133</v>
      </c>
      <c r="C85" s="46" t="s">
        <v>93</v>
      </c>
      <c r="D85" s="46">
        <v>2019</v>
      </c>
      <c r="E85" s="46" t="s">
        <v>94</v>
      </c>
      <c r="F85" s="46" t="s">
        <v>146</v>
      </c>
      <c r="G85" s="73">
        <f t="shared" si="148"/>
        <v>3632</v>
      </c>
      <c r="H85" s="73">
        <f t="shared" si="149"/>
        <v>2000.3212179341999</v>
      </c>
      <c r="I85" s="73">
        <v>111848</v>
      </c>
      <c r="J85" s="59">
        <f t="shared" si="136"/>
        <v>89478.399999999994</v>
      </c>
      <c r="K85" s="59">
        <f t="shared" si="137"/>
        <v>0</v>
      </c>
      <c r="L85" s="59">
        <f t="shared" si="138"/>
        <v>0</v>
      </c>
      <c r="M85" s="59">
        <f t="shared" si="139"/>
        <v>0</v>
      </c>
      <c r="N85" s="59">
        <f t="shared" si="140"/>
        <v>89478.399999999994</v>
      </c>
      <c r="O85" s="59">
        <f t="shared" si="141"/>
        <v>0</v>
      </c>
      <c r="P85" s="59">
        <v>13682</v>
      </c>
      <c r="Q85" s="59">
        <v>12127</v>
      </c>
      <c r="R85" s="59">
        <f t="shared" si="150"/>
        <v>12127</v>
      </c>
      <c r="S85" s="59"/>
      <c r="T85" s="59"/>
      <c r="U85" s="59"/>
      <c r="V85" s="59">
        <f t="shared" si="160"/>
        <v>12127</v>
      </c>
      <c r="W85" s="59">
        <f t="shared" si="152"/>
        <v>1562.0787655880099</v>
      </c>
      <c r="X85" s="61">
        <v>10311</v>
      </c>
      <c r="Y85" s="62">
        <f t="shared" si="153"/>
        <v>0.47890255439924301</v>
      </c>
      <c r="Z85" s="59">
        <f t="shared" si="154"/>
        <v>1191.19712826155</v>
      </c>
      <c r="AA85" s="59">
        <v>27</v>
      </c>
      <c r="AB85" s="59">
        <f>VLOOKUP(B:B,小康村到县资金!C:I,7,0)</f>
        <v>1235.9117647058799</v>
      </c>
      <c r="AC85" s="59">
        <v>1235.9117647058799</v>
      </c>
      <c r="AD85" s="61">
        <f t="shared" si="161"/>
        <v>89478.399999999994</v>
      </c>
      <c r="AE85" s="59"/>
      <c r="AF85" s="59"/>
      <c r="AG85" s="59"/>
      <c r="AH85" s="59"/>
      <c r="AI85" s="59"/>
      <c r="AJ85" s="62" t="e">
        <f>VLOOKUP(B:B,表6资金使用成效（12月30日）!B:L,11,0)</f>
        <v>#REF!</v>
      </c>
      <c r="AK85" s="59" t="e">
        <f t="shared" si="157"/>
        <v>#REF!</v>
      </c>
      <c r="AL85" s="61">
        <v>83.659999999999997</v>
      </c>
      <c r="AM85" s="59">
        <f t="shared" si="158"/>
        <v>55.575906152241899</v>
      </c>
      <c r="AN85" s="53" t="e">
        <f t="shared" si="159"/>
        <v>#REF!</v>
      </c>
      <c r="AO85" s="53" t="e">
        <f t="shared" si="142"/>
        <v>#REF!</v>
      </c>
      <c r="AP85" s="42" t="e">
        <f t="shared" si="134"/>
        <v>#REF!</v>
      </c>
      <c r="AQ85" s="59" t="e">
        <f t="shared" si="143"/>
        <v>#REF!</v>
      </c>
      <c r="AR85" s="43" t="e">
        <f t="shared" si="135"/>
        <v>#REF!</v>
      </c>
      <c r="AZ85" s="5" t="s">
        <v>148</v>
      </c>
      <c r="BA85" s="5">
        <v>0</v>
      </c>
    </row>
    <row r="86" ht="17" customHeight="1">
      <c r="A86" s="46">
        <v>54</v>
      </c>
      <c r="B86" s="82" t="s">
        <v>131</v>
      </c>
      <c r="C86" s="46" t="s">
        <v>93</v>
      </c>
      <c r="D86" s="46">
        <v>2019</v>
      </c>
      <c r="E86" s="46" t="s">
        <v>94</v>
      </c>
      <c r="F86" s="46"/>
      <c r="G86" s="73">
        <f t="shared" si="148"/>
        <v>4975</v>
      </c>
      <c r="H86" s="73">
        <f t="shared" si="149"/>
        <v>2739.9774392132799</v>
      </c>
      <c r="I86" s="73">
        <v>154382</v>
      </c>
      <c r="J86" s="59">
        <f t="shared" si="136"/>
        <v>123505.60000000001</v>
      </c>
      <c r="K86" s="59">
        <f t="shared" si="137"/>
        <v>0</v>
      </c>
      <c r="L86" s="59">
        <f t="shared" si="138"/>
        <v>0</v>
      </c>
      <c r="M86" s="59">
        <f t="shared" si="139"/>
        <v>0</v>
      </c>
      <c r="N86" s="59">
        <f t="shared" si="140"/>
        <v>123505.60000000001</v>
      </c>
      <c r="O86" s="59">
        <f t="shared" si="141"/>
        <v>0</v>
      </c>
      <c r="P86" s="59">
        <v>12988</v>
      </c>
      <c r="Q86" s="59">
        <v>10660</v>
      </c>
      <c r="R86" s="59">
        <f t="shared" si="150"/>
        <v>10660</v>
      </c>
      <c r="S86" s="59"/>
      <c r="T86" s="59"/>
      <c r="U86" s="59"/>
      <c r="V86" s="59">
        <f t="shared" si="160"/>
        <v>10660</v>
      </c>
      <c r="W86" s="59">
        <f t="shared" si="152"/>
        <v>1952.3428967950399</v>
      </c>
      <c r="X86" s="61">
        <v>10251</v>
      </c>
      <c r="Y86" s="62">
        <f t="shared" si="153"/>
        <v>0.49025543992431397</v>
      </c>
      <c r="Z86" s="59">
        <f t="shared" si="154"/>
        <v>1219.4357010374099</v>
      </c>
      <c r="AA86" s="59"/>
      <c r="AB86" s="59"/>
      <c r="AC86" s="59"/>
      <c r="AD86" s="61">
        <f t="shared" si="161"/>
        <v>123505.60000000001</v>
      </c>
      <c r="AE86" s="59"/>
      <c r="AF86" s="59"/>
      <c r="AG86" s="59">
        <v>6</v>
      </c>
      <c r="AH86" s="59"/>
      <c r="AI86" s="59"/>
      <c r="AJ86" s="62" t="e">
        <f>VLOOKUP(B:B,表6资金使用成效（12月30日）!B:L,11,0)</f>
        <v>#REF!</v>
      </c>
      <c r="AK86" s="59" t="e">
        <f t="shared" si="157"/>
        <v>#REF!</v>
      </c>
      <c r="AL86" s="61">
        <v>93.390000000000001</v>
      </c>
      <c r="AM86" s="59">
        <f t="shared" si="158"/>
        <v>62.039611230670197</v>
      </c>
      <c r="AN86" s="53" t="e">
        <f t="shared" si="159"/>
        <v>#REF!</v>
      </c>
      <c r="AO86" s="53" t="e">
        <f t="shared" si="142"/>
        <v>#REF!</v>
      </c>
      <c r="AP86" s="42" t="e">
        <f t="shared" si="134"/>
        <v>#REF!</v>
      </c>
      <c r="AQ86" s="59" t="e">
        <f t="shared" si="143"/>
        <v>#REF!</v>
      </c>
      <c r="AR86" s="43" t="e">
        <f t="shared" si="135"/>
        <v>#REF!</v>
      </c>
      <c r="AZ86" s="5" t="s">
        <v>149</v>
      </c>
      <c r="BA86" s="5">
        <v>2570</v>
      </c>
    </row>
    <row r="87" ht="17" customHeight="1">
      <c r="A87" s="46">
        <v>55</v>
      </c>
      <c r="B87" s="82" t="s">
        <v>132</v>
      </c>
      <c r="C87" s="46" t="s">
        <v>93</v>
      </c>
      <c r="D87" s="46">
        <v>2019</v>
      </c>
      <c r="E87" s="46" t="s">
        <v>94</v>
      </c>
      <c r="F87" s="46"/>
      <c r="G87" s="73">
        <f t="shared" si="148"/>
        <v>4588</v>
      </c>
      <c r="H87" s="73">
        <f t="shared" si="149"/>
        <v>2526.8374856503601</v>
      </c>
      <c r="I87" s="73">
        <v>105952</v>
      </c>
      <c r="J87" s="59">
        <f t="shared" si="136"/>
        <v>84761.600000000006</v>
      </c>
      <c r="K87" s="59">
        <f t="shared" si="137"/>
        <v>0</v>
      </c>
      <c r="L87" s="59">
        <f t="shared" si="138"/>
        <v>0</v>
      </c>
      <c r="M87" s="59">
        <f t="shared" si="139"/>
        <v>0</v>
      </c>
      <c r="N87" s="59">
        <f t="shared" si="140"/>
        <v>84761.600000000006</v>
      </c>
      <c r="O87" s="59">
        <f t="shared" si="141"/>
        <v>0</v>
      </c>
      <c r="P87" s="59">
        <v>10335</v>
      </c>
      <c r="Q87" s="59">
        <v>12905</v>
      </c>
      <c r="R87" s="59">
        <f t="shared" si="150"/>
        <v>12905</v>
      </c>
      <c r="S87" s="59"/>
      <c r="T87" s="59"/>
      <c r="U87" s="59"/>
      <c r="V87" s="59">
        <f t="shared" si="160"/>
        <v>12905</v>
      </c>
      <c r="W87" s="59">
        <f t="shared" si="152"/>
        <v>1455.3372515717999</v>
      </c>
      <c r="X87" s="61">
        <v>10430</v>
      </c>
      <c r="Y87" s="62">
        <f t="shared" si="153"/>
        <v>0.45638599810785202</v>
      </c>
      <c r="Z87" s="59">
        <f t="shared" si="154"/>
        <v>1135.1906255894401</v>
      </c>
      <c r="AA87" s="59"/>
      <c r="AB87" s="59"/>
      <c r="AC87" s="59"/>
      <c r="AD87" s="61">
        <f t="shared" si="161"/>
        <v>84761.600000000006</v>
      </c>
      <c r="AE87" s="59"/>
      <c r="AF87" s="59"/>
      <c r="AG87" s="59">
        <v>5</v>
      </c>
      <c r="AH87" s="59"/>
      <c r="AI87" s="59"/>
      <c r="AJ87" s="62" t="e">
        <f>VLOOKUP(B:B,表6资金使用成效（12月30日）!B:L,11,0)</f>
        <v>#REF!</v>
      </c>
      <c r="AK87" s="59" t="e">
        <f t="shared" si="157"/>
        <v>#REF!</v>
      </c>
      <c r="AL87" s="61">
        <v>91.590000000000003</v>
      </c>
      <c r="AM87" s="59">
        <f t="shared" si="158"/>
        <v>60.843859006500601</v>
      </c>
      <c r="AN87" s="53" t="e">
        <f t="shared" si="159"/>
        <v>#REF!</v>
      </c>
      <c r="AO87" s="53" t="e">
        <f t="shared" si="142"/>
        <v>#REF!</v>
      </c>
      <c r="AP87" s="42" t="e">
        <f t="shared" si="134"/>
        <v>#REF!</v>
      </c>
      <c r="AQ87" s="59" t="e">
        <f t="shared" si="143"/>
        <v>#REF!</v>
      </c>
      <c r="AR87" s="43" t="e">
        <f t="shared" si="135"/>
        <v>#REF!</v>
      </c>
      <c r="AZ87" s="5" t="s">
        <v>150</v>
      </c>
      <c r="BA87" s="5">
        <v>513</v>
      </c>
    </row>
    <row r="88" ht="17" customHeight="1">
      <c r="A88" s="46">
        <v>56</v>
      </c>
      <c r="B88" s="82" t="s">
        <v>134</v>
      </c>
      <c r="C88" s="46" t="s">
        <v>93</v>
      </c>
      <c r="D88" s="46">
        <v>2019</v>
      </c>
      <c r="E88" s="46" t="s">
        <v>94</v>
      </c>
      <c r="F88" s="46" t="s">
        <v>146</v>
      </c>
      <c r="G88" s="73">
        <f t="shared" si="148"/>
        <v>5593</v>
      </c>
      <c r="H88" s="73">
        <f t="shared" si="149"/>
        <v>3080.3404658331401</v>
      </c>
      <c r="I88" s="73">
        <v>97676</v>
      </c>
      <c r="J88" s="59">
        <f t="shared" si="136"/>
        <v>78140.800000000003</v>
      </c>
      <c r="K88" s="59">
        <f t="shared" si="137"/>
        <v>0</v>
      </c>
      <c r="L88" s="59">
        <f t="shared" si="138"/>
        <v>0</v>
      </c>
      <c r="M88" s="59">
        <f t="shared" si="139"/>
        <v>0</v>
      </c>
      <c r="N88" s="59">
        <f t="shared" si="140"/>
        <v>78140.800000000003</v>
      </c>
      <c r="O88" s="59">
        <f t="shared" si="141"/>
        <v>0</v>
      </c>
      <c r="P88" s="59">
        <v>7457</v>
      </c>
      <c r="Q88" s="59">
        <v>10686</v>
      </c>
      <c r="R88" s="59">
        <f t="shared" si="150"/>
        <v>10686</v>
      </c>
      <c r="S88" s="59"/>
      <c r="T88" s="59"/>
      <c r="U88" s="59"/>
      <c r="V88" s="59">
        <f t="shared" si="160"/>
        <v>10686</v>
      </c>
      <c r="W88" s="59">
        <f t="shared" si="152"/>
        <v>1284.96211618744</v>
      </c>
      <c r="X88" s="61">
        <v>10266</v>
      </c>
      <c r="Y88" s="62">
        <f t="shared" si="153"/>
        <v>0.48741721854304598</v>
      </c>
      <c r="Z88" s="59">
        <f t="shared" si="154"/>
        <v>1212.3760578434501</v>
      </c>
      <c r="AA88" s="59">
        <v>7</v>
      </c>
      <c r="AB88" s="59"/>
      <c r="AC88" s="59"/>
      <c r="AD88" s="61">
        <f t="shared" si="161"/>
        <v>78140.800000000003</v>
      </c>
      <c r="AE88" s="59" t="e">
        <f>H88-W88-Z88-AC88-AK88-AM88</f>
        <v>#REF!</v>
      </c>
      <c r="AF88" s="59"/>
      <c r="AG88" s="59"/>
      <c r="AH88" s="59"/>
      <c r="AI88" s="59"/>
      <c r="AJ88" s="62" t="e">
        <f>VLOOKUP(B:B,表6资金使用成效（12月30日）!B:L,11,0)</f>
        <v>#REF!</v>
      </c>
      <c r="AK88" s="59" t="e">
        <f t="shared" si="157"/>
        <v>#REF!</v>
      </c>
      <c r="AL88" s="61">
        <v>90.879999999999995</v>
      </c>
      <c r="AM88" s="59">
        <f t="shared" si="158"/>
        <v>60.372201184744704</v>
      </c>
      <c r="AN88" s="53" t="e">
        <f t="shared" si="159"/>
        <v>#REF!</v>
      </c>
      <c r="AO88" s="53" t="e">
        <f t="shared" si="142"/>
        <v>#REF!</v>
      </c>
      <c r="AP88" s="42" t="e">
        <f t="shared" si="134"/>
        <v>#REF!</v>
      </c>
      <c r="AQ88" s="59" t="e">
        <f t="shared" si="143"/>
        <v>#REF!</v>
      </c>
      <c r="AR88" s="43" t="e">
        <f t="shared" si="135"/>
        <v>#REF!</v>
      </c>
      <c r="AZ88" s="5" t="s">
        <v>151</v>
      </c>
      <c r="BA88" s="5">
        <v>3202</v>
      </c>
    </row>
    <row r="89" s="64" customFormat="1" ht="17" customHeight="1">
      <c r="A89" s="65"/>
      <c r="B89" s="66" t="s">
        <v>136</v>
      </c>
      <c r="C89" s="67">
        <v>1</v>
      </c>
      <c r="D89" s="67"/>
      <c r="E89" s="67"/>
      <c r="F89" s="67"/>
      <c r="G89" s="87">
        <f>G90+G91</f>
        <v>24903</v>
      </c>
      <c r="H89" s="87">
        <f>H90+H91</f>
        <v>13715.3081746188</v>
      </c>
      <c r="I89" s="87">
        <f t="shared" ref="I89:O89" si="162">I90+I91</f>
        <v>573982</v>
      </c>
      <c r="J89" s="69">
        <f t="shared" si="162"/>
        <v>469160.59999999998</v>
      </c>
      <c r="K89" s="69">
        <f t="shared" si="162"/>
        <v>0</v>
      </c>
      <c r="L89" s="69">
        <f t="shared" si="162"/>
        <v>0</v>
      </c>
      <c r="M89" s="69">
        <f t="shared" si="162"/>
        <v>54529.800000000003</v>
      </c>
      <c r="N89" s="69">
        <f t="shared" si="162"/>
        <v>273872.79999999999</v>
      </c>
      <c r="O89" s="69">
        <f t="shared" si="162"/>
        <v>140758</v>
      </c>
      <c r="P89" s="69">
        <v>68675</v>
      </c>
      <c r="Q89" s="69">
        <f t="shared" ref="Q89:W89" si="163">Q90+Q91</f>
        <v>37005</v>
      </c>
      <c r="R89" s="69">
        <f t="shared" si="163"/>
        <v>29105.799999999999</v>
      </c>
      <c r="S89" s="69">
        <f t="shared" si="163"/>
        <v>0</v>
      </c>
      <c r="T89" s="69">
        <f t="shared" si="163"/>
        <v>1494.5999999999999</v>
      </c>
      <c r="U89" s="69">
        <f t="shared" si="163"/>
        <v>27611.200000000001</v>
      </c>
      <c r="V89" s="69">
        <f t="shared" si="163"/>
        <v>0</v>
      </c>
      <c r="W89" s="69">
        <f t="shared" si="163"/>
        <v>7580.7446357251602</v>
      </c>
      <c r="X89" s="88"/>
      <c r="Y89" s="89">
        <f t="shared" ref="Y89:AI89" si="164">Y90+Y91</f>
        <v>1.03122043519395</v>
      </c>
      <c r="Z89" s="69">
        <f t="shared" si="164"/>
        <v>2565.0036938069802</v>
      </c>
      <c r="AA89" s="69">
        <v>42</v>
      </c>
      <c r="AB89" s="69">
        <f t="shared" si="164"/>
        <v>5697.1470588235297</v>
      </c>
      <c r="AC89" s="69">
        <f t="shared" si="164"/>
        <v>5697.1470588235297</v>
      </c>
      <c r="AD89" s="90">
        <f t="shared" si="164"/>
        <v>389059.40000000002</v>
      </c>
      <c r="AE89" s="69" t="e">
        <f t="shared" si="164"/>
        <v>#REF!</v>
      </c>
      <c r="AF89" s="87">
        <f t="shared" si="164"/>
        <v>0</v>
      </c>
      <c r="AG89" s="87">
        <f t="shared" si="164"/>
        <v>28</v>
      </c>
      <c r="AH89" s="87">
        <f t="shared" si="164"/>
        <v>0</v>
      </c>
      <c r="AI89" s="69">
        <f t="shared" si="164"/>
        <v>0</v>
      </c>
      <c r="AJ89" s="89"/>
      <c r="AK89" s="69" t="e">
        <f t="shared" ref="AK89:AO89" si="165">AK90+AK91</f>
        <v>#REF!</v>
      </c>
      <c r="AL89" s="90">
        <f t="shared" si="165"/>
        <v>738.75</v>
      </c>
      <c r="AM89" s="69">
        <f t="shared" si="165"/>
        <v>490.75664200297302</v>
      </c>
      <c r="AN89" s="87" t="e">
        <f t="shared" si="165"/>
        <v>#REF!</v>
      </c>
      <c r="AO89" s="87" t="e">
        <f t="shared" si="165"/>
        <v>#REF!</v>
      </c>
      <c r="AP89" s="42" t="e">
        <f t="shared" si="134"/>
        <v>#REF!</v>
      </c>
      <c r="AQ89" s="89" t="e">
        <f>AQ90+AQ91</f>
        <v>#REF!</v>
      </c>
      <c r="AR89" s="43" t="e">
        <f t="shared" si="135"/>
        <v>#REF!</v>
      </c>
      <c r="AS89" s="5"/>
      <c r="AT89" s="5"/>
      <c r="AU89" s="5"/>
      <c r="AV89" s="5"/>
      <c r="AW89" s="5"/>
      <c r="AX89" s="5"/>
      <c r="AY89" s="5"/>
      <c r="AZ89" s="5" t="s">
        <v>152</v>
      </c>
      <c r="BA89" s="5">
        <v>1878</v>
      </c>
      <c r="BB89" s="5"/>
      <c r="BC89" s="5"/>
      <c r="BD89" s="5"/>
      <c r="BE89" s="5"/>
      <c r="BF89" s="5"/>
      <c r="BG89" s="5"/>
      <c r="BH89" s="5"/>
      <c r="BI89" s="5"/>
      <c r="BJ89" s="5"/>
      <c r="BK89" s="5"/>
      <c r="BL89" s="5"/>
      <c r="BM89" s="5"/>
      <c r="BN89" s="5"/>
      <c r="BO89" s="5"/>
      <c r="BP89" s="5"/>
      <c r="BQ89" s="5"/>
      <c r="BR89" s="5"/>
      <c r="BS89" s="5"/>
      <c r="BT89" s="5"/>
      <c r="BU89" s="5"/>
      <c r="BV89" s="5"/>
      <c r="BW89" s="5"/>
    </row>
    <row r="90" ht="17" customHeight="1">
      <c r="A90" s="44"/>
      <c r="B90" s="72" t="s">
        <v>137</v>
      </c>
      <c r="C90" s="46">
        <v>2</v>
      </c>
      <c r="D90" s="46"/>
      <c r="E90" s="46"/>
      <c r="F90" s="46"/>
      <c r="G90" s="73"/>
      <c r="H90" s="73"/>
      <c r="I90" s="73"/>
      <c r="J90" s="59">
        <f t="shared" ref="J90:J99" si="166">SUM(K90:O90)</f>
        <v>0</v>
      </c>
      <c r="K90" s="59">
        <f t="shared" ref="K90:K99" si="167">IF(D90="",I90*0.2,0)</f>
        <v>0</v>
      </c>
      <c r="L90" s="59">
        <f t="shared" ref="L90:L99" si="168">IF(D90=2017,I90*0.4,0)</f>
        <v>0</v>
      </c>
      <c r="M90" s="59">
        <f t="shared" ref="M90:M99" si="169">IF(D90=2018,I90*0.6,0)</f>
        <v>0</v>
      </c>
      <c r="N90" s="59">
        <f t="shared" ref="N90:N99" si="170">IF(D90=2019,I90*0.8,0)</f>
        <v>0</v>
      </c>
      <c r="O90" s="59">
        <f t="shared" ref="O90:O99" si="171">IF(D90=2020,I90*1,0)</f>
        <v>0</v>
      </c>
      <c r="P90" s="59"/>
      <c r="Q90" s="59"/>
      <c r="R90" s="59">
        <f>N90*0.4+O90*0.6+P90*0.8+Q90*1</f>
        <v>0</v>
      </c>
      <c r="S90" s="59">
        <f>Q90-T90-U90-V90</f>
        <v>0</v>
      </c>
      <c r="T90" s="59"/>
      <c r="U90" s="59"/>
      <c r="V90" s="59"/>
      <c r="W90" s="59"/>
      <c r="X90" s="61"/>
      <c r="Y90" s="62"/>
      <c r="Z90" s="59"/>
      <c r="AA90" s="59"/>
      <c r="AB90" s="59"/>
      <c r="AC90" s="59"/>
      <c r="AD90" s="61"/>
      <c r="AE90" s="59"/>
      <c r="AF90" s="59"/>
      <c r="AG90" s="59"/>
      <c r="AH90" s="59"/>
      <c r="AI90" s="59"/>
      <c r="AJ90" s="62"/>
      <c r="AK90" s="59" t="e">
        <f>AJ90/$AJ$9*0.05*200000</f>
        <v>#REF!</v>
      </c>
      <c r="AL90" s="61"/>
      <c r="AM90" s="59">
        <f>(AL90/$AL$9)*0.05*200000</f>
        <v>0</v>
      </c>
      <c r="AN90" s="53" t="e">
        <f>ROUND(AM90+AK90+AE90+AC90+Z90+W90,0)</f>
        <v>#REF!</v>
      </c>
      <c r="AO90" s="53" t="e">
        <f t="shared" ref="AO90:AO99" si="172">AN90-G90</f>
        <v>#REF!</v>
      </c>
      <c r="AP90" s="42"/>
      <c r="AQ90" s="62" t="e">
        <f t="shared" ref="AQ90:AQ99" si="173">AN90-H90</f>
        <v>#REF!</v>
      </c>
      <c r="AR90" s="43"/>
      <c r="AZ90" s="5" t="s">
        <v>153</v>
      </c>
      <c r="BA90" s="5">
        <v>2082</v>
      </c>
    </row>
    <row r="91" s="74" customFormat="1" ht="17" customHeight="1">
      <c r="A91" s="75"/>
      <c r="B91" s="76" t="s">
        <v>76</v>
      </c>
      <c r="C91" s="77">
        <v>3</v>
      </c>
      <c r="D91" s="77"/>
      <c r="E91" s="77"/>
      <c r="F91" s="77"/>
      <c r="G91" s="91">
        <f>SUM(G92:G99)</f>
        <v>24903</v>
      </c>
      <c r="H91" s="91">
        <f>SUM(H92:H99)</f>
        <v>13715.3081746188</v>
      </c>
      <c r="I91" s="91">
        <f t="shared" ref="I91:O91" si="174">SUM(I92:I99)</f>
        <v>573982</v>
      </c>
      <c r="J91" s="79">
        <f t="shared" si="174"/>
        <v>469160.59999999998</v>
      </c>
      <c r="K91" s="79">
        <f t="shared" si="174"/>
        <v>0</v>
      </c>
      <c r="L91" s="79">
        <f t="shared" si="174"/>
        <v>0</v>
      </c>
      <c r="M91" s="79">
        <f t="shared" si="174"/>
        <v>54529.800000000003</v>
      </c>
      <c r="N91" s="79">
        <f t="shared" si="174"/>
        <v>273872.79999999999</v>
      </c>
      <c r="O91" s="79">
        <f t="shared" si="174"/>
        <v>140758</v>
      </c>
      <c r="P91" s="79">
        <v>68675</v>
      </c>
      <c r="Q91" s="79">
        <f t="shared" ref="Q91:W91" si="175">SUM(Q92:Q99)</f>
        <v>37005</v>
      </c>
      <c r="R91" s="79">
        <f t="shared" si="175"/>
        <v>29105.799999999999</v>
      </c>
      <c r="S91" s="79">
        <f t="shared" si="175"/>
        <v>0</v>
      </c>
      <c r="T91" s="79">
        <f t="shared" si="175"/>
        <v>1494.5999999999999</v>
      </c>
      <c r="U91" s="79">
        <f t="shared" si="175"/>
        <v>27611.200000000001</v>
      </c>
      <c r="V91" s="79">
        <f t="shared" si="175"/>
        <v>0</v>
      </c>
      <c r="W91" s="79">
        <f t="shared" si="175"/>
        <v>7580.7446357251602</v>
      </c>
      <c r="X91" s="92"/>
      <c r="Y91" s="93">
        <f t="shared" ref="Y91:AI91" si="176">SUM(Y92:Y99)</f>
        <v>1.03122043519395</v>
      </c>
      <c r="Z91" s="79">
        <f t="shared" si="176"/>
        <v>2565.0036938069802</v>
      </c>
      <c r="AA91" s="79">
        <v>42</v>
      </c>
      <c r="AB91" s="79">
        <f t="shared" si="176"/>
        <v>5697.1470588235297</v>
      </c>
      <c r="AC91" s="79">
        <f t="shared" si="176"/>
        <v>5697.1470588235297</v>
      </c>
      <c r="AD91" s="94">
        <f t="shared" si="176"/>
        <v>389059.40000000002</v>
      </c>
      <c r="AE91" s="79" t="e">
        <f t="shared" si="176"/>
        <v>#REF!</v>
      </c>
      <c r="AF91" s="91">
        <f t="shared" si="176"/>
        <v>0</v>
      </c>
      <c r="AG91" s="91">
        <f t="shared" si="176"/>
        <v>28</v>
      </c>
      <c r="AH91" s="91">
        <f t="shared" si="176"/>
        <v>0</v>
      </c>
      <c r="AI91" s="79">
        <f t="shared" si="176"/>
        <v>0</v>
      </c>
      <c r="AJ91" s="93"/>
      <c r="AK91" s="79" t="e">
        <f t="shared" ref="AK91:AO91" si="177">SUM(AK92:AK99)</f>
        <v>#REF!</v>
      </c>
      <c r="AL91" s="94">
        <f t="shared" si="177"/>
        <v>738.75</v>
      </c>
      <c r="AM91" s="79">
        <f t="shared" si="177"/>
        <v>490.75664200297302</v>
      </c>
      <c r="AN91" s="91" t="e">
        <f t="shared" si="177"/>
        <v>#REF!</v>
      </c>
      <c r="AO91" s="91" t="e">
        <f t="shared" si="177"/>
        <v>#REF!</v>
      </c>
      <c r="AP91" s="42" t="e">
        <f t="shared" si="134"/>
        <v>#REF!</v>
      </c>
      <c r="AQ91" s="93" t="e">
        <f>SUM(AQ92:AQ99)</f>
        <v>#REF!</v>
      </c>
      <c r="AR91" s="43" t="e">
        <f t="shared" si="135"/>
        <v>#REF!</v>
      </c>
      <c r="AS91" s="5"/>
      <c r="AT91" s="5"/>
      <c r="AU91" s="5"/>
      <c r="AV91" s="5"/>
      <c r="AW91" s="5"/>
      <c r="AX91" s="5"/>
      <c r="AY91" s="5"/>
      <c r="AZ91" s="5" t="s">
        <v>154</v>
      </c>
      <c r="BA91" s="5">
        <v>1919</v>
      </c>
      <c r="BB91" s="5"/>
      <c r="BC91" s="5"/>
      <c r="BD91" s="5"/>
      <c r="BE91" s="5"/>
      <c r="BF91" s="5"/>
      <c r="BG91" s="5"/>
      <c r="BH91" s="5"/>
      <c r="BI91" s="5"/>
      <c r="BJ91" s="5"/>
      <c r="BK91" s="5"/>
      <c r="BL91" s="5"/>
      <c r="BM91" s="5"/>
      <c r="BN91" s="5"/>
      <c r="BO91" s="5"/>
      <c r="BP91" s="5"/>
      <c r="BQ91" s="5"/>
      <c r="BR91" s="5"/>
      <c r="BS91" s="5"/>
      <c r="BT91" s="5"/>
      <c r="BU91" s="5"/>
      <c r="BV91" s="5"/>
      <c r="BW91" s="5"/>
    </row>
    <row r="92" ht="17" customHeight="1">
      <c r="A92" s="46">
        <v>57</v>
      </c>
      <c r="B92" s="82" t="s">
        <v>138</v>
      </c>
      <c r="C92" s="46" t="s">
        <v>90</v>
      </c>
      <c r="D92" s="46">
        <v>2019</v>
      </c>
      <c r="E92" s="46"/>
      <c r="F92" s="46"/>
      <c r="G92" s="73">
        <f t="shared" ref="G92:G99" si="178">VLOOKUP(B:B,$AZ:$BA,2,0)</f>
        <v>1214</v>
      </c>
      <c r="H92" s="73">
        <f t="shared" ref="H92:H99" si="179">G92*210000/381298.76</f>
        <v>668.60957009144204</v>
      </c>
      <c r="I92" s="73">
        <v>56067</v>
      </c>
      <c r="J92" s="59">
        <f t="shared" si="166"/>
        <v>44853.599999999999</v>
      </c>
      <c r="K92" s="59">
        <f t="shared" si="167"/>
        <v>0</v>
      </c>
      <c r="L92" s="59">
        <f t="shared" si="168"/>
        <v>0</v>
      </c>
      <c r="M92" s="59">
        <f t="shared" si="169"/>
        <v>0</v>
      </c>
      <c r="N92" s="59">
        <f t="shared" si="170"/>
        <v>44853.599999999999</v>
      </c>
      <c r="O92" s="59">
        <f t="shared" si="171"/>
        <v>0</v>
      </c>
      <c r="P92" s="59">
        <v>6836</v>
      </c>
      <c r="Q92" s="59">
        <v>4466</v>
      </c>
      <c r="R92" s="59">
        <f t="shared" ref="R92:R99" si="180">S92+T92+U92+V92</f>
        <v>3572.8000000000002</v>
      </c>
      <c r="S92" s="59"/>
      <c r="T92" s="59"/>
      <c r="U92" s="59">
        <f t="shared" ref="U92:U99" si="181">Q92*0.8</f>
        <v>3572.8000000000002</v>
      </c>
      <c r="V92" s="59"/>
      <c r="W92" s="59">
        <f t="shared" ref="W92:W99" si="182">(J92/$J$9*0.2+P92/$P$9*0.05+R92/$R$9*0.05)*299423</f>
        <v>742.31923316574705</v>
      </c>
      <c r="X92" s="61">
        <v>13321</v>
      </c>
      <c r="Y92" s="62">
        <f t="shared" ref="Y92:Y99" si="183">IF(X92&lt;12842,(12842-X92)/(12842-$X$175),0)</f>
        <v>0</v>
      </c>
      <c r="Z92" s="59">
        <f t="shared" ref="Z92:Z99" si="184">(Y92/$Y$9*0.15)*299423</f>
        <v>0</v>
      </c>
      <c r="AA92" s="59"/>
      <c r="AB92" s="59"/>
      <c r="AC92" s="59"/>
      <c r="AD92" s="61"/>
      <c r="AE92" s="59">
        <f t="shared" ref="AE92:AE93" si="185">AD92/$AD$9*71500</f>
        <v>0</v>
      </c>
      <c r="AF92" s="59"/>
      <c r="AG92" s="59">
        <v>7</v>
      </c>
      <c r="AH92" s="59"/>
      <c r="AI92" s="59"/>
      <c r="AJ92" s="62" t="e">
        <f>VLOOKUP(B:B,表6资金使用成效（12月30日）!B:L,11,0)</f>
        <v>#REF!</v>
      </c>
      <c r="AK92" s="59" t="e">
        <f t="shared" ref="AK92:AK99" si="186">AJ92/$AJ$9*0.025*299423</f>
        <v>#REF!</v>
      </c>
      <c r="AL92" s="61">
        <v>91.390000000000001</v>
      </c>
      <c r="AM92" s="59">
        <f t="shared" ref="AM92:AM99" si="187">(AL92/$AL$9)*0.025*299423</f>
        <v>60.7109976482595</v>
      </c>
      <c r="AN92" s="53" t="e">
        <f t="shared" ref="AN92:AN99" si="188">ROUND(AM92+AK92+AE92+AC92+Z92+W92+AI92+AF92,0)</f>
        <v>#REF!</v>
      </c>
      <c r="AO92" s="53" t="e">
        <f t="shared" si="172"/>
        <v>#REF!</v>
      </c>
      <c r="AP92" s="42" t="e">
        <f t="shared" si="134"/>
        <v>#REF!</v>
      </c>
      <c r="AQ92" s="59" t="e">
        <f t="shared" si="173"/>
        <v>#REF!</v>
      </c>
      <c r="AR92" s="43" t="e">
        <f t="shared" si="135"/>
        <v>#REF!</v>
      </c>
      <c r="AZ92" s="5" t="s">
        <v>155</v>
      </c>
      <c r="BA92" s="5">
        <v>4785</v>
      </c>
    </row>
    <row r="93" ht="17" customHeight="1">
      <c r="A93" s="46">
        <v>58</v>
      </c>
      <c r="B93" s="82" t="s">
        <v>139</v>
      </c>
      <c r="C93" s="46" t="s">
        <v>90</v>
      </c>
      <c r="D93" s="46">
        <v>2018</v>
      </c>
      <c r="E93" s="46"/>
      <c r="F93" s="46"/>
      <c r="G93" s="73">
        <f t="shared" si="178"/>
        <v>870</v>
      </c>
      <c r="H93" s="73">
        <f t="shared" si="179"/>
        <v>479.15183359106601</v>
      </c>
      <c r="I93" s="73">
        <v>58746</v>
      </c>
      <c r="J93" s="59">
        <f t="shared" si="166"/>
        <v>35247.599999999999</v>
      </c>
      <c r="K93" s="59">
        <f t="shared" si="167"/>
        <v>0</v>
      </c>
      <c r="L93" s="59">
        <f t="shared" si="168"/>
        <v>0</v>
      </c>
      <c r="M93" s="59">
        <f t="shared" si="169"/>
        <v>35247.599999999999</v>
      </c>
      <c r="N93" s="59">
        <f t="shared" si="170"/>
        <v>0</v>
      </c>
      <c r="O93" s="59">
        <f t="shared" si="171"/>
        <v>0</v>
      </c>
      <c r="P93" s="59">
        <v>6310</v>
      </c>
      <c r="Q93" s="59">
        <v>2491</v>
      </c>
      <c r="R93" s="59">
        <f t="shared" si="180"/>
        <v>1494.5999999999999</v>
      </c>
      <c r="S93" s="59"/>
      <c r="T93" s="59">
        <f>Q93*0.6</f>
        <v>1494.5999999999999</v>
      </c>
      <c r="U93" s="59"/>
      <c r="V93" s="59"/>
      <c r="W93" s="59">
        <f t="shared" si="182"/>
        <v>579.08073732873902</v>
      </c>
      <c r="X93" s="61">
        <v>12705</v>
      </c>
      <c r="Y93" s="62">
        <f t="shared" si="183"/>
        <v>2.5922421948911999e-002</v>
      </c>
      <c r="Z93" s="59">
        <f t="shared" si="184"/>
        <v>64.478074504872694</v>
      </c>
      <c r="AA93" s="59"/>
      <c r="AB93" s="59"/>
      <c r="AC93" s="59"/>
      <c r="AD93" s="61"/>
      <c r="AE93" s="59">
        <f t="shared" si="185"/>
        <v>0</v>
      </c>
      <c r="AF93" s="59"/>
      <c r="AG93" s="59">
        <v>5</v>
      </c>
      <c r="AH93" s="59"/>
      <c r="AI93" s="59"/>
      <c r="AJ93" s="62" t="e">
        <f>VLOOKUP(B:B,表6资金使用成效（12月30日）!B:L,11,0)</f>
        <v>#REF!</v>
      </c>
      <c r="AK93" s="59" t="e">
        <f t="shared" si="186"/>
        <v>#REF!</v>
      </c>
      <c r="AL93" s="61">
        <v>93.260000000000005</v>
      </c>
      <c r="AM93" s="59">
        <f t="shared" si="187"/>
        <v>61.953251347813598</v>
      </c>
      <c r="AN93" s="53" t="e">
        <f t="shared" si="188"/>
        <v>#REF!</v>
      </c>
      <c r="AO93" s="53" t="e">
        <f t="shared" si="172"/>
        <v>#REF!</v>
      </c>
      <c r="AP93" s="42" t="e">
        <f t="shared" si="134"/>
        <v>#REF!</v>
      </c>
      <c r="AQ93" s="59" t="e">
        <f t="shared" si="173"/>
        <v>#REF!</v>
      </c>
      <c r="AR93" s="43" t="e">
        <f t="shared" si="135"/>
        <v>#REF!</v>
      </c>
      <c r="AZ93" s="5" t="s">
        <v>156</v>
      </c>
      <c r="BA93" s="5">
        <v>3363</v>
      </c>
    </row>
    <row r="94" ht="17" customHeight="1">
      <c r="A94" s="46">
        <v>59</v>
      </c>
      <c r="B94" s="82" t="s">
        <v>140</v>
      </c>
      <c r="C94" s="46" t="s">
        <v>90</v>
      </c>
      <c r="D94" s="46">
        <v>2018</v>
      </c>
      <c r="E94" s="46" t="s">
        <v>91</v>
      </c>
      <c r="F94" s="46"/>
      <c r="G94" s="73">
        <f t="shared" si="178"/>
        <v>1067</v>
      </c>
      <c r="H94" s="73">
        <f t="shared" si="179"/>
        <v>587.64943269157197</v>
      </c>
      <c r="I94" s="73">
        <v>32137</v>
      </c>
      <c r="J94" s="59">
        <f t="shared" si="166"/>
        <v>19282.200000000001</v>
      </c>
      <c r="K94" s="59">
        <f t="shared" si="167"/>
        <v>0</v>
      </c>
      <c r="L94" s="59">
        <f t="shared" si="168"/>
        <v>0</v>
      </c>
      <c r="M94" s="59">
        <f t="shared" si="169"/>
        <v>19282.200000000001</v>
      </c>
      <c r="N94" s="59">
        <f t="shared" si="170"/>
        <v>0</v>
      </c>
      <c r="O94" s="59">
        <f t="shared" si="171"/>
        <v>0</v>
      </c>
      <c r="P94" s="59">
        <v>4671</v>
      </c>
      <c r="Q94" s="59">
        <v>3630</v>
      </c>
      <c r="R94" s="59">
        <f t="shared" si="180"/>
        <v>2904</v>
      </c>
      <c r="S94" s="59"/>
      <c r="T94" s="59"/>
      <c r="U94" s="59">
        <f t="shared" si="181"/>
        <v>2904</v>
      </c>
      <c r="V94" s="59"/>
      <c r="W94" s="59">
        <f t="shared" si="182"/>
        <v>372.25811779637201</v>
      </c>
      <c r="X94" s="61">
        <v>11495</v>
      </c>
      <c r="Y94" s="62">
        <f t="shared" si="183"/>
        <v>0.25487228003784301</v>
      </c>
      <c r="Z94" s="59">
        <f t="shared" si="184"/>
        <v>633.95595881798204</v>
      </c>
      <c r="AA94" s="59"/>
      <c r="AB94" s="59"/>
      <c r="AC94" s="59"/>
      <c r="AD94" s="61">
        <f t="shared" ref="AD94:AD99" si="189">J94</f>
        <v>19282.200000000001</v>
      </c>
      <c r="AE94" s="59"/>
      <c r="AF94" s="59"/>
      <c r="AG94" s="59">
        <v>5</v>
      </c>
      <c r="AH94" s="59"/>
      <c r="AI94" s="59"/>
      <c r="AJ94" s="62" t="e">
        <f>VLOOKUP(B:B,表6资金使用成效（12月30日）!B:L,11,0)</f>
        <v>#REF!</v>
      </c>
      <c r="AK94" s="59" t="e">
        <f t="shared" si="186"/>
        <v>#REF!</v>
      </c>
      <c r="AL94" s="61">
        <v>89.75</v>
      </c>
      <c r="AM94" s="59">
        <f t="shared" si="187"/>
        <v>59.6215345106827</v>
      </c>
      <c r="AN94" s="53" t="e">
        <f t="shared" si="188"/>
        <v>#REF!</v>
      </c>
      <c r="AO94" s="53" t="e">
        <f t="shared" si="172"/>
        <v>#REF!</v>
      </c>
      <c r="AP94" s="42" t="e">
        <f t="shared" si="134"/>
        <v>#REF!</v>
      </c>
      <c r="AQ94" s="59" t="e">
        <f t="shared" si="173"/>
        <v>#REF!</v>
      </c>
      <c r="AR94" s="43" t="e">
        <f t="shared" si="135"/>
        <v>#REF!</v>
      </c>
      <c r="AZ94" s="5" t="s">
        <v>157</v>
      </c>
      <c r="BA94" s="5">
        <v>5879</v>
      </c>
    </row>
    <row r="95" ht="17" customHeight="1">
      <c r="A95" s="46">
        <v>60</v>
      </c>
      <c r="B95" s="82" t="s">
        <v>141</v>
      </c>
      <c r="C95" s="46" t="s">
        <v>90</v>
      </c>
      <c r="D95" s="46">
        <v>2019</v>
      </c>
      <c r="E95" s="46" t="s">
        <v>91</v>
      </c>
      <c r="F95" s="46" t="s">
        <v>146</v>
      </c>
      <c r="G95" s="73">
        <f t="shared" si="178"/>
        <v>2861</v>
      </c>
      <c r="H95" s="73">
        <f t="shared" si="179"/>
        <v>1575.6935585103899</v>
      </c>
      <c r="I95" s="73">
        <v>68883</v>
      </c>
      <c r="J95" s="59">
        <f t="shared" si="166"/>
        <v>55106.400000000001</v>
      </c>
      <c r="K95" s="59">
        <f t="shared" si="167"/>
        <v>0</v>
      </c>
      <c r="L95" s="59">
        <f t="shared" si="168"/>
        <v>0</v>
      </c>
      <c r="M95" s="59">
        <f t="shared" si="169"/>
        <v>0</v>
      </c>
      <c r="N95" s="59">
        <f t="shared" si="170"/>
        <v>55106.400000000001</v>
      </c>
      <c r="O95" s="59">
        <f t="shared" si="171"/>
        <v>0</v>
      </c>
      <c r="P95" s="59">
        <v>3623</v>
      </c>
      <c r="Q95" s="59">
        <v>3291</v>
      </c>
      <c r="R95" s="59">
        <f t="shared" si="180"/>
        <v>2632.8000000000002</v>
      </c>
      <c r="S95" s="59"/>
      <c r="T95" s="59"/>
      <c r="U95" s="59">
        <f t="shared" si="181"/>
        <v>2632.8000000000002</v>
      </c>
      <c r="V95" s="59"/>
      <c r="W95" s="59">
        <f t="shared" si="182"/>
        <v>797.90939565009899</v>
      </c>
      <c r="X95" s="61">
        <v>11984</v>
      </c>
      <c r="Y95" s="62">
        <f t="shared" si="183"/>
        <v>0.16234626300851501</v>
      </c>
      <c r="Z95" s="59">
        <f t="shared" si="184"/>
        <v>403.81159069475001</v>
      </c>
      <c r="AA95" s="59">
        <v>23</v>
      </c>
      <c r="AB95" s="59">
        <f>VLOOKUP(B:B,小康村到县资金!C:I,7,0)</f>
        <v>5697.1470588235297</v>
      </c>
      <c r="AC95" s="59">
        <v>5697.1470588235297</v>
      </c>
      <c r="AD95" s="61">
        <f t="shared" si="189"/>
        <v>55106.400000000001</v>
      </c>
      <c r="AE95" s="59"/>
      <c r="AF95" s="59"/>
      <c r="AG95" s="59"/>
      <c r="AH95" s="59"/>
      <c r="AI95" s="59"/>
      <c r="AJ95" s="62" t="e">
        <f>VLOOKUP(B:B,表6资金使用成效（12月30日）!B:L,11,0)</f>
        <v>#REF!</v>
      </c>
      <c r="AK95" s="59" t="e">
        <f t="shared" si="186"/>
        <v>#REF!</v>
      </c>
      <c r="AL95" s="61">
        <v>95.329999999999998</v>
      </c>
      <c r="AM95" s="59">
        <f t="shared" si="187"/>
        <v>63.328366405608698</v>
      </c>
      <c r="AN95" s="53" t="e">
        <f t="shared" si="188"/>
        <v>#REF!</v>
      </c>
      <c r="AO95" s="53" t="e">
        <f t="shared" si="172"/>
        <v>#REF!</v>
      </c>
      <c r="AP95" s="42" t="e">
        <f t="shared" si="134"/>
        <v>#REF!</v>
      </c>
      <c r="AQ95" s="59" t="e">
        <f t="shared" si="173"/>
        <v>#REF!</v>
      </c>
      <c r="AR95" s="43" t="e">
        <f t="shared" si="135"/>
        <v>#REF!</v>
      </c>
      <c r="AZ95" s="5" t="s">
        <v>158</v>
      </c>
      <c r="BA95" s="5">
        <v>4633</v>
      </c>
    </row>
    <row r="96" ht="17" customHeight="1">
      <c r="A96" s="46">
        <v>61</v>
      </c>
      <c r="B96" s="82" t="s">
        <v>142</v>
      </c>
      <c r="C96" s="46" t="s">
        <v>93</v>
      </c>
      <c r="D96" s="46">
        <v>2019</v>
      </c>
      <c r="E96" s="46" t="s">
        <v>94</v>
      </c>
      <c r="F96" s="46" t="s">
        <v>146</v>
      </c>
      <c r="G96" s="73">
        <f t="shared" si="178"/>
        <v>2817</v>
      </c>
      <c r="H96" s="73">
        <f t="shared" si="179"/>
        <v>1551.4605922138301</v>
      </c>
      <c r="I96" s="73">
        <v>83326</v>
      </c>
      <c r="J96" s="59">
        <f t="shared" si="166"/>
        <v>66660.800000000003</v>
      </c>
      <c r="K96" s="59">
        <f t="shared" si="167"/>
        <v>0</v>
      </c>
      <c r="L96" s="59">
        <f t="shared" si="168"/>
        <v>0</v>
      </c>
      <c r="M96" s="59">
        <f t="shared" si="169"/>
        <v>0</v>
      </c>
      <c r="N96" s="59">
        <f t="shared" si="170"/>
        <v>66660.800000000003</v>
      </c>
      <c r="O96" s="59">
        <f t="shared" si="171"/>
        <v>0</v>
      </c>
      <c r="P96" s="59">
        <v>12893</v>
      </c>
      <c r="Q96" s="59">
        <v>4689</v>
      </c>
      <c r="R96" s="59">
        <f t="shared" si="180"/>
        <v>3751.1999999999998</v>
      </c>
      <c r="S96" s="59"/>
      <c r="T96" s="59"/>
      <c r="U96" s="59">
        <f t="shared" si="181"/>
        <v>3751.1999999999998</v>
      </c>
      <c r="V96" s="59"/>
      <c r="W96" s="59">
        <f t="shared" si="182"/>
        <v>1127.2831598572</v>
      </c>
      <c r="X96" s="61">
        <v>12054</v>
      </c>
      <c r="Y96" s="62">
        <f t="shared" si="183"/>
        <v>0.149101229895932</v>
      </c>
      <c r="Z96" s="59">
        <f t="shared" si="184"/>
        <v>370.86658912291699</v>
      </c>
      <c r="AA96" s="59">
        <v>12</v>
      </c>
      <c r="AB96" s="59"/>
      <c r="AC96" s="59"/>
      <c r="AD96" s="61">
        <f t="shared" si="189"/>
        <v>66660.800000000003</v>
      </c>
      <c r="AE96" s="59"/>
      <c r="AF96" s="59"/>
      <c r="AG96" s="59"/>
      <c r="AH96" s="59"/>
      <c r="AI96" s="59"/>
      <c r="AJ96" s="62" t="e">
        <f>VLOOKUP(B:B,表6资金使用成效（12月30日）!B:L,11,0)</f>
        <v>#REF!</v>
      </c>
      <c r="AK96" s="59" t="e">
        <f t="shared" si="186"/>
        <v>#REF!</v>
      </c>
      <c r="AL96" s="61">
        <v>91.280000000000001</v>
      </c>
      <c r="AM96" s="59">
        <f t="shared" si="187"/>
        <v>60.637923901226898</v>
      </c>
      <c r="AN96" s="53" t="e">
        <f t="shared" si="188"/>
        <v>#REF!</v>
      </c>
      <c r="AO96" s="53" t="e">
        <f t="shared" si="172"/>
        <v>#REF!</v>
      </c>
      <c r="AP96" s="42" t="e">
        <f t="shared" si="134"/>
        <v>#REF!</v>
      </c>
      <c r="AQ96" s="59" t="e">
        <f t="shared" si="173"/>
        <v>#REF!</v>
      </c>
      <c r="AR96" s="43" t="e">
        <f t="shared" si="135"/>
        <v>#REF!</v>
      </c>
      <c r="AZ96" s="5" t="s">
        <v>159</v>
      </c>
      <c r="BA96" s="5">
        <v>2997</v>
      </c>
    </row>
    <row r="97" ht="17" customHeight="1">
      <c r="A97" s="46">
        <v>62</v>
      </c>
      <c r="B97" s="82" t="s">
        <v>143</v>
      </c>
      <c r="C97" s="46" t="s">
        <v>90</v>
      </c>
      <c r="D97" s="46">
        <v>2019</v>
      </c>
      <c r="E97" s="46" t="s">
        <v>91</v>
      </c>
      <c r="F97" s="46"/>
      <c r="G97" s="73">
        <f t="shared" si="178"/>
        <v>1047</v>
      </c>
      <c r="H97" s="73">
        <f t="shared" si="179"/>
        <v>576.634448011318</v>
      </c>
      <c r="I97" s="73">
        <v>72985</v>
      </c>
      <c r="J97" s="59">
        <f t="shared" si="166"/>
        <v>58388</v>
      </c>
      <c r="K97" s="59">
        <f t="shared" si="167"/>
        <v>0</v>
      </c>
      <c r="L97" s="59">
        <f t="shared" si="168"/>
        <v>0</v>
      </c>
      <c r="M97" s="59">
        <f t="shared" si="169"/>
        <v>0</v>
      </c>
      <c r="N97" s="59">
        <f t="shared" si="170"/>
        <v>58388</v>
      </c>
      <c r="O97" s="59">
        <f t="shared" si="171"/>
        <v>0</v>
      </c>
      <c r="P97" s="59">
        <v>9744</v>
      </c>
      <c r="Q97" s="59">
        <v>3714</v>
      </c>
      <c r="R97" s="59">
        <f t="shared" si="180"/>
        <v>2971.1999999999998</v>
      </c>
      <c r="S97" s="59"/>
      <c r="T97" s="59"/>
      <c r="U97" s="59">
        <f t="shared" si="181"/>
        <v>2971.1999999999998</v>
      </c>
      <c r="V97" s="59"/>
      <c r="W97" s="59">
        <f t="shared" si="182"/>
        <v>954.48557719610699</v>
      </c>
      <c r="X97" s="61">
        <v>12318</v>
      </c>
      <c r="Y97" s="62">
        <f t="shared" si="183"/>
        <v>9.9148533585619703e-002</v>
      </c>
      <c r="Z97" s="59">
        <f t="shared" si="184"/>
        <v>246.616868909148</v>
      </c>
      <c r="AA97" s="59"/>
      <c r="AB97" s="59"/>
      <c r="AC97" s="59"/>
      <c r="AD97" s="61">
        <f t="shared" si="189"/>
        <v>58388</v>
      </c>
      <c r="AE97" s="59"/>
      <c r="AF97" s="59"/>
      <c r="AG97" s="59">
        <v>6</v>
      </c>
      <c r="AH97" s="59"/>
      <c r="AI97" s="59"/>
      <c r="AJ97" s="62" t="e">
        <f>VLOOKUP(B:B,表6资金使用成效（12月30日）!B:L,11,0)</f>
        <v>#REF!</v>
      </c>
      <c r="AK97" s="59" t="e">
        <f t="shared" si="186"/>
        <v>#REF!</v>
      </c>
      <c r="AL97" s="61">
        <v>91.359999999999999</v>
      </c>
      <c r="AM97" s="59">
        <f t="shared" si="187"/>
        <v>60.691068444523303</v>
      </c>
      <c r="AN97" s="53" t="e">
        <f t="shared" si="188"/>
        <v>#REF!</v>
      </c>
      <c r="AO97" s="53" t="e">
        <f t="shared" si="172"/>
        <v>#REF!</v>
      </c>
      <c r="AP97" s="42" t="e">
        <f t="shared" si="134"/>
        <v>#REF!</v>
      </c>
      <c r="AQ97" s="59" t="e">
        <f t="shared" si="173"/>
        <v>#REF!</v>
      </c>
      <c r="AR97" s="43" t="e">
        <f t="shared" si="135"/>
        <v>#REF!</v>
      </c>
      <c r="AZ97" s="5" t="s">
        <v>160</v>
      </c>
      <c r="BA97" s="5">
        <v>0</v>
      </c>
    </row>
    <row r="98" s="5" customFormat="1" ht="17" customHeight="1">
      <c r="A98" s="46">
        <v>63</v>
      </c>
      <c r="B98" s="82" t="s">
        <v>144</v>
      </c>
      <c r="C98" s="46" t="s">
        <v>93</v>
      </c>
      <c r="D98" s="46">
        <v>2020</v>
      </c>
      <c r="E98" s="46" t="s">
        <v>94</v>
      </c>
      <c r="F98" s="46"/>
      <c r="G98" s="73">
        <f t="shared" si="178"/>
        <v>13131</v>
      </c>
      <c r="H98" s="73">
        <f t="shared" si="179"/>
        <v>7231.88819182103</v>
      </c>
      <c r="I98" s="73">
        <v>140758</v>
      </c>
      <c r="J98" s="59">
        <f t="shared" si="166"/>
        <v>140758</v>
      </c>
      <c r="K98" s="59">
        <f t="shared" si="167"/>
        <v>0</v>
      </c>
      <c r="L98" s="59">
        <f t="shared" si="168"/>
        <v>0</v>
      </c>
      <c r="M98" s="59">
        <f t="shared" si="169"/>
        <v>0</v>
      </c>
      <c r="N98" s="59">
        <f t="shared" si="170"/>
        <v>0</v>
      </c>
      <c r="O98" s="59">
        <f t="shared" si="171"/>
        <v>140758</v>
      </c>
      <c r="P98" s="59">
        <v>20728</v>
      </c>
      <c r="Q98" s="59">
        <v>9715</v>
      </c>
      <c r="R98" s="59">
        <f t="shared" si="180"/>
        <v>7772</v>
      </c>
      <c r="S98" s="59"/>
      <c r="T98" s="59"/>
      <c r="U98" s="59">
        <f t="shared" si="181"/>
        <v>7772</v>
      </c>
      <c r="V98" s="59"/>
      <c r="W98" s="59">
        <f t="shared" si="182"/>
        <v>2261.1644319674901</v>
      </c>
      <c r="X98" s="61">
        <v>11435</v>
      </c>
      <c r="Y98" s="62">
        <f t="shared" si="183"/>
        <v>0.26622516556291398</v>
      </c>
      <c r="Z98" s="59">
        <f t="shared" si="184"/>
        <v>662.19453159383897</v>
      </c>
      <c r="AA98" s="59"/>
      <c r="AB98" s="59"/>
      <c r="AC98" s="59"/>
      <c r="AD98" s="61">
        <f t="shared" si="189"/>
        <v>140758</v>
      </c>
      <c r="AE98" s="59" t="e">
        <f t="shared" ref="AE98:AE99" si="190">H98-W98-Z98-AC98-AK98-AM98</f>
        <v>#REF!</v>
      </c>
      <c r="AF98" s="59"/>
      <c r="AG98" s="59">
        <v>5</v>
      </c>
      <c r="AH98" s="59"/>
      <c r="AI98" s="59"/>
      <c r="AJ98" s="62" t="e">
        <f>VLOOKUP(B:B,表6资金使用成效（12月30日）!B:L,11,0)</f>
        <v>#REF!</v>
      </c>
      <c r="AK98" s="59" t="e">
        <f t="shared" si="186"/>
        <v>#REF!</v>
      </c>
      <c r="AL98" s="61">
        <v>92.489999999999995</v>
      </c>
      <c r="AM98" s="59">
        <f t="shared" si="187"/>
        <v>61.441735118585399</v>
      </c>
      <c r="AN98" s="53" t="e">
        <f t="shared" si="188"/>
        <v>#REF!</v>
      </c>
      <c r="AO98" s="53" t="e">
        <f t="shared" si="172"/>
        <v>#REF!</v>
      </c>
      <c r="AP98" s="83" t="e">
        <f t="shared" si="134"/>
        <v>#REF!</v>
      </c>
      <c r="AQ98" s="59" t="e">
        <f t="shared" si="173"/>
        <v>#REF!</v>
      </c>
      <c r="AR98" s="43" t="e">
        <f t="shared" si="135"/>
        <v>#REF!</v>
      </c>
      <c r="AZ98" s="5" t="s">
        <v>161</v>
      </c>
      <c r="BA98" s="5">
        <v>981</v>
      </c>
    </row>
    <row r="99" ht="17" customHeight="1">
      <c r="A99" s="46">
        <v>64</v>
      </c>
      <c r="B99" s="82" t="s">
        <v>145</v>
      </c>
      <c r="C99" s="46" t="s">
        <v>90</v>
      </c>
      <c r="D99" s="46">
        <v>2019</v>
      </c>
      <c r="E99" s="46" t="s">
        <v>91</v>
      </c>
      <c r="F99" s="46" t="s">
        <v>146</v>
      </c>
      <c r="G99" s="73">
        <f t="shared" si="178"/>
        <v>1896</v>
      </c>
      <c r="H99" s="73">
        <f t="shared" si="179"/>
        <v>1044.22054768812</v>
      </c>
      <c r="I99" s="73">
        <v>61080</v>
      </c>
      <c r="J99" s="59">
        <f t="shared" si="166"/>
        <v>48864</v>
      </c>
      <c r="K99" s="59">
        <f t="shared" si="167"/>
        <v>0</v>
      </c>
      <c r="L99" s="59">
        <f t="shared" si="168"/>
        <v>0</v>
      </c>
      <c r="M99" s="59">
        <f t="shared" si="169"/>
        <v>0</v>
      </c>
      <c r="N99" s="59">
        <f t="shared" si="170"/>
        <v>48864</v>
      </c>
      <c r="O99" s="59">
        <f t="shared" si="171"/>
        <v>0</v>
      </c>
      <c r="P99" s="59">
        <v>3870</v>
      </c>
      <c r="Q99" s="59">
        <v>5009</v>
      </c>
      <c r="R99" s="59">
        <f t="shared" si="180"/>
        <v>4007.1999999999998</v>
      </c>
      <c r="S99" s="59"/>
      <c r="T99" s="59"/>
      <c r="U99" s="59">
        <f t="shared" si="181"/>
        <v>4007.1999999999998</v>
      </c>
      <c r="V99" s="59"/>
      <c r="W99" s="59">
        <f t="shared" si="182"/>
        <v>746.24398276340696</v>
      </c>
      <c r="X99" s="61">
        <v>12453</v>
      </c>
      <c r="Y99" s="62">
        <f t="shared" si="183"/>
        <v>7.3604541154210001e-002</v>
      </c>
      <c r="Z99" s="59">
        <f t="shared" si="184"/>
        <v>183.080080163471</v>
      </c>
      <c r="AA99" s="59">
        <v>7</v>
      </c>
      <c r="AB99" s="59"/>
      <c r="AC99" s="59"/>
      <c r="AD99" s="61">
        <f t="shared" si="189"/>
        <v>48864</v>
      </c>
      <c r="AE99" s="59" t="e">
        <f t="shared" si="190"/>
        <v>#REF!</v>
      </c>
      <c r="AF99" s="59"/>
      <c r="AG99" s="59"/>
      <c r="AH99" s="59"/>
      <c r="AI99" s="59"/>
      <c r="AJ99" s="62" t="e">
        <f>VLOOKUP(B:B,表6资金使用成效（12月30日）!B:L,11,0)</f>
        <v>#REF!</v>
      </c>
      <c r="AK99" s="59" t="e">
        <f t="shared" si="186"/>
        <v>#REF!</v>
      </c>
      <c r="AL99" s="61">
        <v>93.890000000000001</v>
      </c>
      <c r="AM99" s="59">
        <f t="shared" si="187"/>
        <v>62.371764626272899</v>
      </c>
      <c r="AN99" s="53" t="e">
        <f t="shared" si="188"/>
        <v>#REF!</v>
      </c>
      <c r="AO99" s="53" t="e">
        <f t="shared" si="172"/>
        <v>#REF!</v>
      </c>
      <c r="AP99" s="42" t="e">
        <f t="shared" si="134"/>
        <v>#REF!</v>
      </c>
      <c r="AQ99" s="59" t="e">
        <f t="shared" si="173"/>
        <v>#REF!</v>
      </c>
      <c r="AR99" s="43" t="e">
        <f t="shared" si="135"/>
        <v>#REF!</v>
      </c>
      <c r="AZ99" s="5" t="s">
        <v>162</v>
      </c>
      <c r="BA99" s="5">
        <v>493</v>
      </c>
    </row>
    <row r="100" s="64" customFormat="1" ht="17" customHeight="1">
      <c r="A100" s="65"/>
      <c r="B100" s="66" t="s">
        <v>147</v>
      </c>
      <c r="C100" s="67">
        <v>1</v>
      </c>
      <c r="D100" s="67"/>
      <c r="E100" s="67"/>
      <c r="F100" s="67"/>
      <c r="G100" s="87">
        <f>G101+G102</f>
        <v>30824</v>
      </c>
      <c r="H100" s="87">
        <f>H101+H102</f>
        <v>16976.294389208098</v>
      </c>
      <c r="I100" s="87">
        <f t="shared" ref="I100:O100" si="191">I101+I102</f>
        <v>553461</v>
      </c>
      <c r="J100" s="69">
        <f t="shared" si="191"/>
        <v>438757</v>
      </c>
      <c r="K100" s="69">
        <f t="shared" si="191"/>
        <v>3311.1999999999998</v>
      </c>
      <c r="L100" s="69">
        <f t="shared" si="191"/>
        <v>5276</v>
      </c>
      <c r="M100" s="69">
        <f t="shared" si="191"/>
        <v>84178.800000000003</v>
      </c>
      <c r="N100" s="69">
        <f t="shared" si="191"/>
        <v>149704</v>
      </c>
      <c r="O100" s="69">
        <f t="shared" si="191"/>
        <v>196287</v>
      </c>
      <c r="P100" s="69">
        <v>81093</v>
      </c>
      <c r="Q100" s="69">
        <f t="shared" ref="Q100:W100" si="192">Q101+Q102</f>
        <v>81805</v>
      </c>
      <c r="R100" s="69">
        <f t="shared" si="192"/>
        <v>76734.800000000003</v>
      </c>
      <c r="S100" s="69">
        <f t="shared" si="192"/>
        <v>172.80000000000001</v>
      </c>
      <c r="T100" s="69">
        <f t="shared" si="192"/>
        <v>1729.2</v>
      </c>
      <c r="U100" s="69">
        <f t="shared" si="192"/>
        <v>14632.799999999999</v>
      </c>
      <c r="V100" s="69">
        <f t="shared" si="192"/>
        <v>60200</v>
      </c>
      <c r="W100" s="69">
        <f t="shared" si="192"/>
        <v>8189.1340718006804</v>
      </c>
      <c r="X100" s="88"/>
      <c r="Y100" s="89">
        <f t="shared" ref="Y100:AI100" si="193">Y101+Y102</f>
        <v>0.89820245979186397</v>
      </c>
      <c r="Z100" s="69">
        <f t="shared" si="193"/>
        <v>2234.1417494498601</v>
      </c>
      <c r="AA100" s="69">
        <v>44</v>
      </c>
      <c r="AB100" s="69">
        <f t="shared" si="193"/>
        <v>0</v>
      </c>
      <c r="AC100" s="69">
        <f t="shared" si="193"/>
        <v>0</v>
      </c>
      <c r="AD100" s="90">
        <f t="shared" si="193"/>
        <v>380743</v>
      </c>
      <c r="AE100" s="69" t="e">
        <f t="shared" si="193"/>
        <v>#REF!</v>
      </c>
      <c r="AF100" s="87">
        <f t="shared" si="193"/>
        <v>0</v>
      </c>
      <c r="AG100" s="87">
        <f t="shared" si="193"/>
        <v>26</v>
      </c>
      <c r="AH100" s="87">
        <f t="shared" si="193"/>
        <v>193.92116182572599</v>
      </c>
      <c r="AI100" s="69">
        <f t="shared" si="193"/>
        <v>0</v>
      </c>
      <c r="AJ100" s="89"/>
      <c r="AK100" s="69" t="e">
        <f t="shared" ref="AK100:AO100" si="194">AK101+AK102</f>
        <v>#REF!</v>
      </c>
      <c r="AL100" s="90">
        <f t="shared" si="194"/>
        <v>890.99000000000001</v>
      </c>
      <c r="AM100" s="69">
        <f t="shared" si="194"/>
        <v>591.89070789608002</v>
      </c>
      <c r="AN100" s="87" t="e">
        <f t="shared" si="194"/>
        <v>#REF!</v>
      </c>
      <c r="AO100" s="87" t="e">
        <f t="shared" si="194"/>
        <v>#REF!</v>
      </c>
      <c r="AP100" s="42" t="e">
        <f t="shared" si="134"/>
        <v>#REF!</v>
      </c>
      <c r="AQ100" s="89" t="e">
        <f>AQ101+AQ102</f>
        <v>#REF!</v>
      </c>
      <c r="AR100" s="43" t="e">
        <f t="shared" si="135"/>
        <v>#REF!</v>
      </c>
      <c r="AS100" s="5"/>
      <c r="AT100" s="5"/>
      <c r="AU100" s="5"/>
      <c r="AV100" s="5"/>
      <c r="AW100" s="5"/>
      <c r="AX100" s="5"/>
      <c r="AY100" s="5"/>
      <c r="AZ100" s="5" t="s">
        <v>163</v>
      </c>
      <c r="BA100" s="5">
        <v>1523</v>
      </c>
      <c r="BB100" s="5"/>
      <c r="BC100" s="5"/>
      <c r="BD100" s="5"/>
      <c r="BE100" s="5"/>
      <c r="BF100" s="5"/>
      <c r="BG100" s="5"/>
      <c r="BH100" s="5"/>
      <c r="BI100" s="5"/>
      <c r="BJ100" s="5"/>
      <c r="BK100" s="5"/>
      <c r="BL100" s="5"/>
      <c r="BM100" s="5"/>
      <c r="BN100" s="5"/>
      <c r="BO100" s="5"/>
      <c r="BP100" s="5"/>
      <c r="BQ100" s="5"/>
      <c r="BR100" s="5"/>
      <c r="BS100" s="5"/>
      <c r="BT100" s="5"/>
      <c r="BU100" s="5"/>
      <c r="BV100" s="5"/>
      <c r="BW100" s="5"/>
    </row>
    <row r="101" ht="17" customHeight="1">
      <c r="A101" s="44"/>
      <c r="B101" s="72" t="s">
        <v>148</v>
      </c>
      <c r="C101" s="46">
        <v>2</v>
      </c>
      <c r="D101" s="46"/>
      <c r="E101" s="46"/>
      <c r="F101" s="46"/>
      <c r="G101" s="73"/>
      <c r="H101" s="73"/>
      <c r="I101" s="73"/>
      <c r="J101" s="59">
        <f t="shared" ref="J101:J112" si="195">SUM(K101:O101)</f>
        <v>0</v>
      </c>
      <c r="K101" s="59">
        <f t="shared" ref="K101:K112" si="196">IF(D101="",I101*0.2,0)</f>
        <v>0</v>
      </c>
      <c r="L101" s="59">
        <f t="shared" ref="L101:L112" si="197">IF(D101=2017,I101*0.4,0)</f>
        <v>0</v>
      </c>
      <c r="M101" s="59">
        <f t="shared" ref="M101:M112" si="198">IF(D101=2018,I101*0.6,0)</f>
        <v>0</v>
      </c>
      <c r="N101" s="59">
        <f t="shared" ref="N101:N112" si="199">IF(D101=2019,I101*0.8,0)</f>
        <v>0</v>
      </c>
      <c r="O101" s="59">
        <f t="shared" ref="O101:O112" si="200">IF(D101=2020,I101*1,0)</f>
        <v>0</v>
      </c>
      <c r="P101" s="59"/>
      <c r="Q101" s="59"/>
      <c r="R101" s="59">
        <f>N101*0.4+O101*0.6+P101*0.8+Q101*1</f>
        <v>0</v>
      </c>
      <c r="S101" s="59">
        <f>Q101-T101-U101-V101</f>
        <v>0</v>
      </c>
      <c r="T101" s="59"/>
      <c r="U101" s="59"/>
      <c r="V101" s="59"/>
      <c r="W101" s="59"/>
      <c r="X101" s="61"/>
      <c r="Y101" s="62"/>
      <c r="Z101" s="59"/>
      <c r="AA101" s="59"/>
      <c r="AB101" s="59"/>
      <c r="AC101" s="59"/>
      <c r="AD101" s="61"/>
      <c r="AE101" s="59"/>
      <c r="AF101" s="59"/>
      <c r="AG101" s="59"/>
      <c r="AH101" s="59"/>
      <c r="AI101" s="59"/>
      <c r="AJ101" s="62"/>
      <c r="AK101" s="59" t="e">
        <f>AJ101/$AJ$9*0.05*200000</f>
        <v>#REF!</v>
      </c>
      <c r="AL101" s="61"/>
      <c r="AM101" s="59">
        <f>(AL101/$AL$9)*0.05*200000</f>
        <v>0</v>
      </c>
      <c r="AN101" s="53" t="e">
        <f>ROUND(AM101+AK101+AE101+AC101+Z101+W101,0)</f>
        <v>#REF!</v>
      </c>
      <c r="AO101" s="53" t="e">
        <f t="shared" ref="AO101:AO112" si="201">AN101-G101</f>
        <v>#REF!</v>
      </c>
      <c r="AP101" s="42"/>
      <c r="AQ101" s="62" t="e">
        <f t="shared" ref="AQ101:AQ112" si="202">AN101-H101</f>
        <v>#REF!</v>
      </c>
      <c r="AR101" s="43"/>
      <c r="AZ101" s="5" t="s">
        <v>164</v>
      </c>
      <c r="BA101" s="5">
        <v>20161</v>
      </c>
    </row>
    <row r="102" s="74" customFormat="1" ht="17" customHeight="1">
      <c r="A102" s="75"/>
      <c r="B102" s="76" t="s">
        <v>76</v>
      </c>
      <c r="C102" s="77">
        <v>3</v>
      </c>
      <c r="D102" s="77"/>
      <c r="E102" s="77"/>
      <c r="F102" s="77"/>
      <c r="G102" s="91">
        <f>SUM(G103:G112)</f>
        <v>30824</v>
      </c>
      <c r="H102" s="91">
        <f>SUM(H103:H112)</f>
        <v>16976.294389208098</v>
      </c>
      <c r="I102" s="91">
        <f t="shared" ref="I102:O102" si="203">SUM(I103:I112)</f>
        <v>553461</v>
      </c>
      <c r="J102" s="79">
        <f t="shared" si="203"/>
        <v>438757</v>
      </c>
      <c r="K102" s="79">
        <f t="shared" si="203"/>
        <v>3311.1999999999998</v>
      </c>
      <c r="L102" s="79">
        <f t="shared" si="203"/>
        <v>5276</v>
      </c>
      <c r="M102" s="79">
        <f t="shared" si="203"/>
        <v>84178.800000000003</v>
      </c>
      <c r="N102" s="79">
        <f t="shared" si="203"/>
        <v>149704</v>
      </c>
      <c r="O102" s="79">
        <f t="shared" si="203"/>
        <v>196287</v>
      </c>
      <c r="P102" s="79">
        <v>81093</v>
      </c>
      <c r="Q102" s="79">
        <f t="shared" ref="Q102:W102" si="204">SUM(Q103:Q112)</f>
        <v>81805</v>
      </c>
      <c r="R102" s="79">
        <f t="shared" si="204"/>
        <v>76734.800000000003</v>
      </c>
      <c r="S102" s="79">
        <f t="shared" si="204"/>
        <v>172.80000000000001</v>
      </c>
      <c r="T102" s="79">
        <f t="shared" si="204"/>
        <v>1729.2</v>
      </c>
      <c r="U102" s="79">
        <f t="shared" si="204"/>
        <v>14632.799999999999</v>
      </c>
      <c r="V102" s="79">
        <f t="shared" si="204"/>
        <v>60200</v>
      </c>
      <c r="W102" s="79">
        <f t="shared" si="204"/>
        <v>8189.1340718006804</v>
      </c>
      <c r="X102" s="92"/>
      <c r="Y102" s="93">
        <f t="shared" ref="Y102:AI102" si="205">SUM(Y103:Y112)</f>
        <v>0.89820245979186397</v>
      </c>
      <c r="Z102" s="79">
        <f t="shared" si="205"/>
        <v>2234.1417494498601</v>
      </c>
      <c r="AA102" s="79">
        <v>44</v>
      </c>
      <c r="AB102" s="79">
        <f t="shared" si="205"/>
        <v>0</v>
      </c>
      <c r="AC102" s="79">
        <f t="shared" si="205"/>
        <v>0</v>
      </c>
      <c r="AD102" s="94">
        <f t="shared" si="205"/>
        <v>380743</v>
      </c>
      <c r="AE102" s="79" t="e">
        <f t="shared" si="205"/>
        <v>#REF!</v>
      </c>
      <c r="AF102" s="91">
        <f t="shared" si="205"/>
        <v>0</v>
      </c>
      <c r="AG102" s="91">
        <f t="shared" si="205"/>
        <v>26</v>
      </c>
      <c r="AH102" s="91">
        <f t="shared" si="205"/>
        <v>193.92116182572599</v>
      </c>
      <c r="AI102" s="79">
        <f t="shared" si="205"/>
        <v>0</v>
      </c>
      <c r="AJ102" s="93"/>
      <c r="AK102" s="79" t="e">
        <f t="shared" ref="AK102:AO102" si="206">SUM(AK103:AK112)</f>
        <v>#REF!</v>
      </c>
      <c r="AL102" s="94">
        <f t="shared" si="206"/>
        <v>890.99000000000001</v>
      </c>
      <c r="AM102" s="79">
        <f t="shared" si="206"/>
        <v>591.89070789608002</v>
      </c>
      <c r="AN102" s="91" t="e">
        <f t="shared" si="206"/>
        <v>#REF!</v>
      </c>
      <c r="AO102" s="91" t="e">
        <f t="shared" si="206"/>
        <v>#REF!</v>
      </c>
      <c r="AP102" s="42" t="e">
        <f t="shared" si="134"/>
        <v>#REF!</v>
      </c>
      <c r="AQ102" s="93" t="e">
        <f>SUM(AQ103:AQ112)</f>
        <v>#REF!</v>
      </c>
      <c r="AR102" s="43" t="e">
        <f t="shared" si="135"/>
        <v>#REF!</v>
      </c>
      <c r="AS102" s="5"/>
      <c r="AT102" s="5"/>
      <c r="AU102" s="5"/>
      <c r="AV102" s="5"/>
      <c r="AW102" s="5"/>
      <c r="AX102" s="5"/>
      <c r="AY102" s="5"/>
      <c r="AZ102" s="5" t="s">
        <v>165</v>
      </c>
      <c r="BA102" s="5">
        <v>0</v>
      </c>
      <c r="BB102" s="5"/>
      <c r="BC102" s="5"/>
      <c r="BD102" s="5"/>
      <c r="BE102" s="5"/>
      <c r="BF102" s="5"/>
      <c r="BG102" s="5"/>
      <c r="BH102" s="5"/>
      <c r="BI102" s="5"/>
      <c r="BJ102" s="5"/>
      <c r="BK102" s="5"/>
      <c r="BL102" s="5"/>
      <c r="BM102" s="5"/>
      <c r="BN102" s="5"/>
      <c r="BO102" s="5"/>
      <c r="BP102" s="5"/>
      <c r="BQ102" s="5"/>
      <c r="BR102" s="5"/>
      <c r="BS102" s="5"/>
      <c r="BT102" s="5"/>
      <c r="BU102" s="5"/>
      <c r="BV102" s="5"/>
      <c r="BW102" s="5"/>
    </row>
    <row r="103" ht="17" customHeight="1">
      <c r="A103" s="46">
        <v>65</v>
      </c>
      <c r="B103" s="82" t="s">
        <v>149</v>
      </c>
      <c r="C103" s="46" t="s">
        <v>78</v>
      </c>
      <c r="D103" s="46"/>
      <c r="E103" s="46"/>
      <c r="F103" s="46"/>
      <c r="G103" s="73">
        <f t="shared" ref="G103:G112" si="207">VLOOKUP(B:B,$AZ:$BA,2,0)</f>
        <v>2570</v>
      </c>
      <c r="H103" s="73">
        <f t="shared" ref="H103:H112" si="208">G103*210000/381298.76</f>
        <v>1415.4255314126899</v>
      </c>
      <c r="I103" s="73">
        <v>16556</v>
      </c>
      <c r="J103" s="59">
        <f t="shared" si="195"/>
        <v>3311.1999999999998</v>
      </c>
      <c r="K103" s="59">
        <f t="shared" si="196"/>
        <v>3311.1999999999998</v>
      </c>
      <c r="L103" s="59">
        <f t="shared" si="197"/>
        <v>0</v>
      </c>
      <c r="M103" s="59">
        <f t="shared" si="198"/>
        <v>0</v>
      </c>
      <c r="N103" s="59">
        <f t="shared" si="199"/>
        <v>0</v>
      </c>
      <c r="O103" s="59">
        <f t="shared" si="200"/>
        <v>0</v>
      </c>
      <c r="P103" s="59">
        <v>1011</v>
      </c>
      <c r="Q103" s="59">
        <v>1715</v>
      </c>
      <c r="R103" s="59">
        <f t="shared" ref="R103:R112" si="209">S103+T103+U103+V103</f>
        <v>1029</v>
      </c>
      <c r="S103" s="59"/>
      <c r="T103" s="59">
        <f t="shared" ref="T103:T104" si="210">Q103*0.6</f>
        <v>1029</v>
      </c>
      <c r="U103" s="59"/>
      <c r="V103" s="59"/>
      <c r="W103" s="59">
        <f t="shared" ref="W103:W112" si="211">(J103/$J$9*0.2+P103/$P$9*0.05+R103/$R$9*0.05)*299423</f>
        <v>76.209985653511097</v>
      </c>
      <c r="X103" s="61">
        <v>13236</v>
      </c>
      <c r="Y103" s="62">
        <f t="shared" ref="Y103:Y112" si="212">IF(X103&lt;12842,(12842-X103)/(12842-$X$175),0)</f>
        <v>0</v>
      </c>
      <c r="Z103" s="59">
        <f t="shared" ref="Z103:Z112" si="213">(Y103/$Y$9*0.15)*299423</f>
        <v>0</v>
      </c>
      <c r="AA103" s="59"/>
      <c r="AB103" s="59"/>
      <c r="AC103" s="59"/>
      <c r="AD103" s="61"/>
      <c r="AE103" s="59">
        <f t="shared" ref="AE103:AE107" si="214">AD103/$AD$9*71500</f>
        <v>0</v>
      </c>
      <c r="AF103" s="59"/>
      <c r="AG103" s="59">
        <v>5</v>
      </c>
      <c r="AH103" s="59">
        <f>AG103/$AG$13*9347</f>
        <v>193.92116182572599</v>
      </c>
      <c r="AI103" s="59"/>
      <c r="AJ103" s="62" t="e">
        <f>VLOOKUP(B:B,表6资金使用成效（12月30日）!B:L,11,0)</f>
        <v>#REF!</v>
      </c>
      <c r="AK103" s="59" t="e">
        <f t="shared" ref="AK103:AK112" si="215">AJ103/$AJ$9*0.025*299423</f>
        <v>#REF!</v>
      </c>
      <c r="AL103" s="61">
        <v>85.650000000000006</v>
      </c>
      <c r="AM103" s="59">
        <f t="shared" ref="AM103:AM112" si="216">(AL103/$AL$9)*0.025*299423</f>
        <v>56.897876666740601</v>
      </c>
      <c r="AN103" s="53" t="e">
        <f t="shared" ref="AN103:AN112" si="217">ROUND(AM103+AK103+AE103+AC103+Z103+W103+AI103+AF103,0)</f>
        <v>#REF!</v>
      </c>
      <c r="AO103" s="53" t="e">
        <f t="shared" si="201"/>
        <v>#REF!</v>
      </c>
      <c r="AP103" s="42" t="e">
        <f t="shared" si="134"/>
        <v>#REF!</v>
      </c>
      <c r="AQ103" s="59" t="e">
        <f t="shared" si="202"/>
        <v>#REF!</v>
      </c>
      <c r="AR103" s="43" t="e">
        <f t="shared" si="135"/>
        <v>#REF!</v>
      </c>
      <c r="AZ103" s="5" t="s">
        <v>166</v>
      </c>
      <c r="BA103" s="5">
        <v>2346</v>
      </c>
    </row>
    <row r="104" ht="17" customHeight="1">
      <c r="A104" s="46">
        <v>66</v>
      </c>
      <c r="B104" s="82" t="s">
        <v>150</v>
      </c>
      <c r="C104" s="46" t="s">
        <v>90</v>
      </c>
      <c r="D104" s="46">
        <v>2017</v>
      </c>
      <c r="E104" s="46"/>
      <c r="F104" s="46"/>
      <c r="G104" s="73">
        <f t="shared" si="207"/>
        <v>513</v>
      </c>
      <c r="H104" s="73">
        <f t="shared" si="208"/>
        <v>282.53435704852501</v>
      </c>
      <c r="I104" s="73">
        <v>13190</v>
      </c>
      <c r="J104" s="59">
        <f t="shared" si="195"/>
        <v>5276</v>
      </c>
      <c r="K104" s="59">
        <f t="shared" si="196"/>
        <v>0</v>
      </c>
      <c r="L104" s="59">
        <f t="shared" si="197"/>
        <v>5276</v>
      </c>
      <c r="M104" s="59">
        <f t="shared" si="198"/>
        <v>0</v>
      </c>
      <c r="N104" s="59">
        <f t="shared" si="199"/>
        <v>0</v>
      </c>
      <c r="O104" s="59">
        <f t="shared" si="200"/>
        <v>0</v>
      </c>
      <c r="P104" s="59">
        <v>4350</v>
      </c>
      <c r="Q104" s="59">
        <v>1167</v>
      </c>
      <c r="R104" s="59">
        <f t="shared" si="209"/>
        <v>700.20000000000005</v>
      </c>
      <c r="S104" s="59"/>
      <c r="T104" s="59">
        <f t="shared" si="210"/>
        <v>700.20000000000005</v>
      </c>
      <c r="U104" s="59"/>
      <c r="V104" s="59"/>
      <c r="W104" s="59">
        <f t="shared" si="211"/>
        <v>155.552750140998</v>
      </c>
      <c r="X104" s="61">
        <v>12949</v>
      </c>
      <c r="Y104" s="62">
        <f t="shared" si="212"/>
        <v>0</v>
      </c>
      <c r="Z104" s="59">
        <f t="shared" si="213"/>
        <v>0</v>
      </c>
      <c r="AA104" s="59"/>
      <c r="AB104" s="59"/>
      <c r="AC104" s="59"/>
      <c r="AD104" s="61"/>
      <c r="AE104" s="59">
        <f t="shared" si="214"/>
        <v>0</v>
      </c>
      <c r="AF104" s="59"/>
      <c r="AG104" s="59">
        <v>3</v>
      </c>
      <c r="AH104" s="59"/>
      <c r="AI104" s="59"/>
      <c r="AJ104" s="62" t="e">
        <f>VLOOKUP(B:B,表6资金使用成效（12月30日）!B:L,11,0)</f>
        <v>#REF!</v>
      </c>
      <c r="AK104" s="59" t="e">
        <f t="shared" si="215"/>
        <v>#REF!</v>
      </c>
      <c r="AL104" s="61">
        <v>91.069999999999993</v>
      </c>
      <c r="AM104" s="59">
        <f t="shared" si="216"/>
        <v>60.498419475073803</v>
      </c>
      <c r="AN104" s="53" t="e">
        <f t="shared" si="217"/>
        <v>#REF!</v>
      </c>
      <c r="AO104" s="53" t="e">
        <f t="shared" si="201"/>
        <v>#REF!</v>
      </c>
      <c r="AP104" s="42" t="e">
        <f t="shared" si="134"/>
        <v>#REF!</v>
      </c>
      <c r="AQ104" s="59" t="e">
        <f t="shared" si="202"/>
        <v>#REF!</v>
      </c>
      <c r="AR104" s="43" t="e">
        <f t="shared" si="135"/>
        <v>#REF!</v>
      </c>
      <c r="AZ104" s="5" t="s">
        <v>167</v>
      </c>
      <c r="BA104" s="5">
        <v>1998</v>
      </c>
    </row>
    <row r="105" ht="17" customHeight="1">
      <c r="A105" s="46">
        <v>67</v>
      </c>
      <c r="B105" s="82" t="s">
        <v>151</v>
      </c>
      <c r="C105" s="46" t="s">
        <v>90</v>
      </c>
      <c r="D105" s="46">
        <v>2019</v>
      </c>
      <c r="E105" s="46" t="s">
        <v>91</v>
      </c>
      <c r="F105" s="46"/>
      <c r="G105" s="73">
        <f t="shared" si="207"/>
        <v>3202</v>
      </c>
      <c r="H105" s="73">
        <f t="shared" si="208"/>
        <v>1763.49904730873</v>
      </c>
      <c r="I105" s="73">
        <v>91117</v>
      </c>
      <c r="J105" s="59">
        <f t="shared" si="195"/>
        <v>72893.600000000006</v>
      </c>
      <c r="K105" s="59">
        <f t="shared" si="196"/>
        <v>0</v>
      </c>
      <c r="L105" s="59">
        <f t="shared" si="197"/>
        <v>0</v>
      </c>
      <c r="M105" s="59">
        <f t="shared" si="198"/>
        <v>0</v>
      </c>
      <c r="N105" s="59">
        <f t="shared" si="199"/>
        <v>72893.600000000006</v>
      </c>
      <c r="O105" s="59">
        <f t="shared" si="200"/>
        <v>0</v>
      </c>
      <c r="P105" s="59">
        <v>11458</v>
      </c>
      <c r="Q105" s="59">
        <v>17710</v>
      </c>
      <c r="R105" s="59">
        <f t="shared" si="209"/>
        <v>17710</v>
      </c>
      <c r="S105" s="59"/>
      <c r="T105" s="59"/>
      <c r="U105" s="59"/>
      <c r="V105" s="59">
        <f t="shared" ref="V105:V110" si="218">Q105*1</f>
        <v>17710</v>
      </c>
      <c r="W105" s="59">
        <f t="shared" si="211"/>
        <v>1404.1144821124501</v>
      </c>
      <c r="X105" s="61">
        <v>12142</v>
      </c>
      <c r="Y105" s="62">
        <f t="shared" si="212"/>
        <v>0.13245033112582799</v>
      </c>
      <c r="Z105" s="59">
        <f t="shared" si="213"/>
        <v>329.45001571832802</v>
      </c>
      <c r="AA105" s="59"/>
      <c r="AB105" s="59"/>
      <c r="AC105" s="59"/>
      <c r="AD105" s="61">
        <f t="shared" ref="AD105:AD112" si="219">J105</f>
        <v>72893.600000000006</v>
      </c>
      <c r="AE105" s="59"/>
      <c r="AF105" s="59"/>
      <c r="AG105" s="59">
        <v>4</v>
      </c>
      <c r="AH105" s="59"/>
      <c r="AI105" s="59"/>
      <c r="AJ105" s="62" t="e">
        <f>VLOOKUP(B:B,表6资金使用成效（12月30日）!B:L,11,0)</f>
        <v>#REF!</v>
      </c>
      <c r="AK105" s="59" t="e">
        <f t="shared" si="215"/>
        <v>#REF!</v>
      </c>
      <c r="AL105" s="61">
        <v>92.310000000000002</v>
      </c>
      <c r="AM105" s="59">
        <f t="shared" si="216"/>
        <v>61.322159896168401</v>
      </c>
      <c r="AN105" s="53" t="e">
        <f t="shared" si="217"/>
        <v>#REF!</v>
      </c>
      <c r="AO105" s="53" t="e">
        <f t="shared" si="201"/>
        <v>#REF!</v>
      </c>
      <c r="AP105" s="42" t="e">
        <f t="shared" si="134"/>
        <v>#REF!</v>
      </c>
      <c r="AQ105" s="59" t="e">
        <f t="shared" si="202"/>
        <v>#REF!</v>
      </c>
      <c r="AR105" s="43" t="e">
        <f t="shared" si="135"/>
        <v>#REF!</v>
      </c>
      <c r="AZ105" s="5" t="s">
        <v>168</v>
      </c>
      <c r="BA105" s="5">
        <v>367</v>
      </c>
    </row>
    <row r="106" ht="17" customHeight="1">
      <c r="A106" s="46">
        <v>68</v>
      </c>
      <c r="B106" s="82" t="s">
        <v>153</v>
      </c>
      <c r="C106" s="46" t="s">
        <v>90</v>
      </c>
      <c r="D106" s="46">
        <v>2018</v>
      </c>
      <c r="E106" s="46"/>
      <c r="F106" s="46"/>
      <c r="G106" s="73">
        <f t="shared" si="207"/>
        <v>2082</v>
      </c>
      <c r="H106" s="73">
        <f t="shared" si="208"/>
        <v>1146.65990521448</v>
      </c>
      <c r="I106" s="73">
        <v>49007</v>
      </c>
      <c r="J106" s="59">
        <f t="shared" si="195"/>
        <v>29404.200000000001</v>
      </c>
      <c r="K106" s="59">
        <f t="shared" si="196"/>
        <v>0</v>
      </c>
      <c r="L106" s="59">
        <f t="shared" si="197"/>
        <v>0</v>
      </c>
      <c r="M106" s="59">
        <f t="shared" si="198"/>
        <v>29404.200000000001</v>
      </c>
      <c r="N106" s="59">
        <f t="shared" si="199"/>
        <v>0</v>
      </c>
      <c r="O106" s="59">
        <f t="shared" si="200"/>
        <v>0</v>
      </c>
      <c r="P106" s="59">
        <v>8606</v>
      </c>
      <c r="Q106" s="59">
        <v>14292</v>
      </c>
      <c r="R106" s="59">
        <f t="shared" si="209"/>
        <v>14292</v>
      </c>
      <c r="S106" s="59"/>
      <c r="T106" s="59"/>
      <c r="U106" s="59"/>
      <c r="V106" s="59">
        <f t="shared" si="218"/>
        <v>14292</v>
      </c>
      <c r="W106" s="59">
        <f t="shared" si="211"/>
        <v>752.98482717998502</v>
      </c>
      <c r="X106" s="61">
        <v>13143</v>
      </c>
      <c r="Y106" s="62">
        <f t="shared" si="212"/>
        <v>0</v>
      </c>
      <c r="Z106" s="59">
        <f t="shared" si="213"/>
        <v>0</v>
      </c>
      <c r="AA106" s="59"/>
      <c r="AB106" s="59"/>
      <c r="AC106" s="59"/>
      <c r="AD106" s="61"/>
      <c r="AE106" s="59">
        <f t="shared" si="214"/>
        <v>0</v>
      </c>
      <c r="AF106" s="59"/>
      <c r="AG106" s="59">
        <v>5</v>
      </c>
      <c r="AH106" s="59"/>
      <c r="AI106" s="59"/>
      <c r="AJ106" s="62" t="e">
        <f>VLOOKUP(B:B,表6资金使用成效（12月30日）!B:L,11,0)</f>
        <v>#REF!</v>
      </c>
      <c r="AK106" s="59" t="e">
        <f t="shared" si="215"/>
        <v>#REF!</v>
      </c>
      <c r="AL106" s="61">
        <v>92.680000000000007</v>
      </c>
      <c r="AM106" s="59">
        <f t="shared" si="216"/>
        <v>61.567953408914398</v>
      </c>
      <c r="AN106" s="53" t="e">
        <f t="shared" si="217"/>
        <v>#REF!</v>
      </c>
      <c r="AO106" s="53" t="e">
        <f t="shared" si="201"/>
        <v>#REF!</v>
      </c>
      <c r="AP106" s="42" t="e">
        <f t="shared" si="134"/>
        <v>#REF!</v>
      </c>
      <c r="AQ106" s="59" t="e">
        <f t="shared" si="202"/>
        <v>#REF!</v>
      </c>
      <c r="AR106" s="43" t="e">
        <f t="shared" si="135"/>
        <v>#REF!</v>
      </c>
      <c r="AZ106" s="5" t="s">
        <v>169</v>
      </c>
      <c r="BA106" s="5">
        <v>1082</v>
      </c>
    </row>
    <row r="107" ht="17" customHeight="1">
      <c r="A107" s="46">
        <v>69</v>
      </c>
      <c r="B107" s="82" t="s">
        <v>154</v>
      </c>
      <c r="C107" s="46" t="s">
        <v>90</v>
      </c>
      <c r="D107" s="46">
        <v>2018</v>
      </c>
      <c r="E107" s="46"/>
      <c r="F107" s="46"/>
      <c r="G107" s="73">
        <f t="shared" si="207"/>
        <v>1919</v>
      </c>
      <c r="H107" s="73">
        <f t="shared" si="208"/>
        <v>1056.8877800704099</v>
      </c>
      <c r="I107" s="73">
        <v>33371</v>
      </c>
      <c r="J107" s="59">
        <f t="shared" si="195"/>
        <v>20022.599999999999</v>
      </c>
      <c r="K107" s="59">
        <f t="shared" si="196"/>
        <v>0</v>
      </c>
      <c r="L107" s="59">
        <f t="shared" si="197"/>
        <v>0</v>
      </c>
      <c r="M107" s="59">
        <f t="shared" si="198"/>
        <v>20022.599999999999</v>
      </c>
      <c r="N107" s="59">
        <f t="shared" si="199"/>
        <v>0</v>
      </c>
      <c r="O107" s="59">
        <f t="shared" si="200"/>
        <v>0</v>
      </c>
      <c r="P107" s="59">
        <v>3067</v>
      </c>
      <c r="Q107" s="59">
        <v>10988</v>
      </c>
      <c r="R107" s="59">
        <f t="shared" si="209"/>
        <v>10988</v>
      </c>
      <c r="S107" s="59"/>
      <c r="T107" s="59"/>
      <c r="U107" s="59"/>
      <c r="V107" s="59">
        <f t="shared" si="218"/>
        <v>10988</v>
      </c>
      <c r="W107" s="59">
        <f t="shared" si="211"/>
        <v>482.73843407434703</v>
      </c>
      <c r="X107" s="61">
        <v>13141</v>
      </c>
      <c r="Y107" s="62">
        <f t="shared" si="212"/>
        <v>0</v>
      </c>
      <c r="Z107" s="59">
        <f t="shared" si="213"/>
        <v>0</v>
      </c>
      <c r="AA107" s="59"/>
      <c r="AB107" s="59"/>
      <c r="AC107" s="59"/>
      <c r="AD107" s="61"/>
      <c r="AE107" s="59">
        <f t="shared" si="214"/>
        <v>0</v>
      </c>
      <c r="AF107" s="59"/>
      <c r="AG107" s="59">
        <v>4</v>
      </c>
      <c r="AH107" s="59"/>
      <c r="AI107" s="59"/>
      <c r="AJ107" s="62" t="e">
        <f>VLOOKUP(B:B,表6资金使用成效（12月30日）!B:L,11,0)</f>
        <v>#REF!</v>
      </c>
      <c r="AK107" s="59" t="e">
        <f t="shared" si="215"/>
        <v>#REF!</v>
      </c>
      <c r="AL107" s="61">
        <v>91.129999999999995</v>
      </c>
      <c r="AM107" s="59">
        <f t="shared" si="216"/>
        <v>60.538277882546097</v>
      </c>
      <c r="AN107" s="53" t="e">
        <f t="shared" si="217"/>
        <v>#REF!</v>
      </c>
      <c r="AO107" s="53" t="e">
        <f t="shared" si="201"/>
        <v>#REF!</v>
      </c>
      <c r="AP107" s="42" t="e">
        <f t="shared" si="134"/>
        <v>#REF!</v>
      </c>
      <c r="AQ107" s="59" t="e">
        <f t="shared" si="202"/>
        <v>#REF!</v>
      </c>
      <c r="AR107" s="43" t="e">
        <f t="shared" si="135"/>
        <v>#REF!</v>
      </c>
      <c r="AZ107" s="5" t="s">
        <v>170</v>
      </c>
      <c r="BA107" s="5">
        <v>1219</v>
      </c>
    </row>
    <row r="108" ht="17" customHeight="1">
      <c r="A108" s="46">
        <v>70</v>
      </c>
      <c r="B108" s="82" t="s">
        <v>152</v>
      </c>
      <c r="C108" s="46" t="s">
        <v>90</v>
      </c>
      <c r="D108" s="46">
        <v>2019</v>
      </c>
      <c r="E108" s="46" t="s">
        <v>91</v>
      </c>
      <c r="F108" s="46"/>
      <c r="G108" s="73">
        <f t="shared" si="207"/>
        <v>1878</v>
      </c>
      <c r="H108" s="73">
        <f t="shared" si="208"/>
        <v>1034.3070614758899</v>
      </c>
      <c r="I108" s="73">
        <v>60317</v>
      </c>
      <c r="J108" s="59">
        <f t="shared" si="195"/>
        <v>48253.599999999999</v>
      </c>
      <c r="K108" s="59">
        <f t="shared" si="196"/>
        <v>0</v>
      </c>
      <c r="L108" s="59">
        <f t="shared" si="197"/>
        <v>0</v>
      </c>
      <c r="M108" s="59">
        <f t="shared" si="198"/>
        <v>0</v>
      </c>
      <c r="N108" s="59">
        <f t="shared" si="199"/>
        <v>48253.599999999999</v>
      </c>
      <c r="O108" s="59">
        <f t="shared" si="200"/>
        <v>0</v>
      </c>
      <c r="P108" s="59">
        <v>8638</v>
      </c>
      <c r="Q108" s="59">
        <v>8913</v>
      </c>
      <c r="R108" s="59">
        <f t="shared" si="209"/>
        <v>7130.3999999999996</v>
      </c>
      <c r="S108" s="59"/>
      <c r="T108" s="59"/>
      <c r="U108" s="59">
        <f t="shared" ref="U108:U109" si="220">Q108*0.8</f>
        <v>7130.3999999999996</v>
      </c>
      <c r="V108" s="59"/>
      <c r="W108" s="59">
        <f t="shared" si="211"/>
        <v>874.53226378383204</v>
      </c>
      <c r="X108" s="61">
        <v>12835</v>
      </c>
      <c r="Y108" s="62">
        <f t="shared" si="212"/>
        <v>1.3245033112582801e-003</v>
      </c>
      <c r="Z108" s="59">
        <f t="shared" si="213"/>
        <v>3.2945001571832799</v>
      </c>
      <c r="AA108" s="59"/>
      <c r="AB108" s="59"/>
      <c r="AC108" s="59"/>
      <c r="AD108" s="61">
        <f t="shared" si="219"/>
        <v>48253.599999999999</v>
      </c>
      <c r="AE108" s="59" t="e">
        <f t="shared" ref="AE108:AE112" si="221">H108-W108-Z108-AC108-AK108-AM108</f>
        <v>#REF!</v>
      </c>
      <c r="AF108" s="59"/>
      <c r="AG108" s="59">
        <v>5</v>
      </c>
      <c r="AH108" s="59"/>
      <c r="AI108" s="59"/>
      <c r="AJ108" s="62" t="e">
        <f>VLOOKUP(B:B,表6资金使用成效（12月30日）!B:L,11,0)</f>
        <v>#REF!</v>
      </c>
      <c r="AK108" s="59" t="e">
        <f t="shared" si="215"/>
        <v>#REF!</v>
      </c>
      <c r="AL108" s="61">
        <v>84.060000000000002</v>
      </c>
      <c r="AM108" s="59">
        <f t="shared" si="216"/>
        <v>55.841628868724101</v>
      </c>
      <c r="AN108" s="53" t="e">
        <f t="shared" si="217"/>
        <v>#REF!</v>
      </c>
      <c r="AO108" s="53" t="e">
        <f t="shared" si="201"/>
        <v>#REF!</v>
      </c>
      <c r="AP108" s="42" t="e">
        <f t="shared" si="134"/>
        <v>#REF!</v>
      </c>
      <c r="AQ108" s="59" t="e">
        <f t="shared" si="202"/>
        <v>#REF!</v>
      </c>
      <c r="AR108" s="43" t="e">
        <f t="shared" si="135"/>
        <v>#REF!</v>
      </c>
      <c r="AZ108" s="5" t="s">
        <v>171</v>
      </c>
      <c r="BA108" s="5">
        <v>1437</v>
      </c>
    </row>
    <row r="109" ht="17" customHeight="1">
      <c r="A109" s="46">
        <v>71</v>
      </c>
      <c r="B109" s="82" t="s">
        <v>155</v>
      </c>
      <c r="C109" s="46" t="s">
        <v>93</v>
      </c>
      <c r="D109" s="46">
        <v>2019</v>
      </c>
      <c r="E109" s="46" t="s">
        <v>91</v>
      </c>
      <c r="F109" s="46" t="s">
        <v>146</v>
      </c>
      <c r="G109" s="73">
        <f t="shared" si="207"/>
        <v>4785</v>
      </c>
      <c r="H109" s="73">
        <f t="shared" si="208"/>
        <v>2635.33508475087</v>
      </c>
      <c r="I109" s="73">
        <v>35696</v>
      </c>
      <c r="J109" s="59">
        <f t="shared" si="195"/>
        <v>28556.799999999999</v>
      </c>
      <c r="K109" s="59">
        <f t="shared" si="196"/>
        <v>0</v>
      </c>
      <c r="L109" s="59">
        <f t="shared" si="197"/>
        <v>0</v>
      </c>
      <c r="M109" s="59">
        <f t="shared" si="198"/>
        <v>0</v>
      </c>
      <c r="N109" s="59">
        <f t="shared" si="199"/>
        <v>28556.799999999999</v>
      </c>
      <c r="O109" s="59">
        <f t="shared" si="200"/>
        <v>0</v>
      </c>
      <c r="P109" s="59">
        <v>2943</v>
      </c>
      <c r="Q109" s="59">
        <v>9378</v>
      </c>
      <c r="R109" s="59">
        <f t="shared" si="209"/>
        <v>7502.3999999999996</v>
      </c>
      <c r="S109" s="59"/>
      <c r="T109" s="59"/>
      <c r="U109" s="59">
        <f t="shared" si="220"/>
        <v>7502.3999999999996</v>
      </c>
      <c r="V109" s="59"/>
      <c r="W109" s="59">
        <f t="shared" si="211"/>
        <v>531.36986590341996</v>
      </c>
      <c r="X109" s="61">
        <v>11879</v>
      </c>
      <c r="Y109" s="62">
        <f t="shared" si="212"/>
        <v>0.18221381267738901</v>
      </c>
      <c r="Z109" s="59">
        <f t="shared" si="213"/>
        <v>453.22909305249902</v>
      </c>
      <c r="AA109" s="59">
        <v>11</v>
      </c>
      <c r="AB109" s="59"/>
      <c r="AC109" s="59"/>
      <c r="AD109" s="61">
        <f t="shared" si="219"/>
        <v>28556.799999999999</v>
      </c>
      <c r="AE109" s="59" t="e">
        <f t="shared" si="221"/>
        <v>#REF!</v>
      </c>
      <c r="AF109" s="59"/>
      <c r="AG109" s="59"/>
      <c r="AH109" s="59"/>
      <c r="AI109" s="59"/>
      <c r="AJ109" s="62" t="e">
        <f>VLOOKUP(B:B,表6资金使用成效（12月30日）!B:L,11,0)</f>
        <v>#REF!</v>
      </c>
      <c r="AK109" s="59" t="e">
        <f t="shared" si="215"/>
        <v>#REF!</v>
      </c>
      <c r="AL109" s="61">
        <v>83.359999999999999</v>
      </c>
      <c r="AM109" s="59">
        <f t="shared" si="216"/>
        <v>55.376614114880297</v>
      </c>
      <c r="AN109" s="53" t="e">
        <f t="shared" si="217"/>
        <v>#REF!</v>
      </c>
      <c r="AO109" s="53" t="e">
        <f t="shared" si="201"/>
        <v>#REF!</v>
      </c>
      <c r="AP109" s="42" t="e">
        <f t="shared" si="134"/>
        <v>#REF!</v>
      </c>
      <c r="AQ109" s="59" t="e">
        <f t="shared" si="202"/>
        <v>#REF!</v>
      </c>
      <c r="AR109" s="43" t="e">
        <f t="shared" si="135"/>
        <v>#REF!</v>
      </c>
      <c r="AZ109" s="5" t="s">
        <v>172</v>
      </c>
      <c r="BA109" s="5">
        <v>2941</v>
      </c>
    </row>
    <row r="110" ht="17" customHeight="1">
      <c r="A110" s="46">
        <v>72</v>
      </c>
      <c r="B110" s="82" t="s">
        <v>157</v>
      </c>
      <c r="C110" s="46" t="s">
        <v>93</v>
      </c>
      <c r="D110" s="46">
        <v>2020</v>
      </c>
      <c r="E110" s="46" t="s">
        <v>94</v>
      </c>
      <c r="F110" s="46" t="s">
        <v>146</v>
      </c>
      <c r="G110" s="73">
        <f t="shared" si="207"/>
        <v>5879</v>
      </c>
      <c r="H110" s="73">
        <f t="shared" si="208"/>
        <v>3237.85474676078</v>
      </c>
      <c r="I110" s="73">
        <v>196287</v>
      </c>
      <c r="J110" s="59">
        <f t="shared" si="195"/>
        <v>196287</v>
      </c>
      <c r="K110" s="59">
        <f t="shared" si="196"/>
        <v>0</v>
      </c>
      <c r="L110" s="59">
        <f t="shared" si="197"/>
        <v>0</v>
      </c>
      <c r="M110" s="59">
        <f t="shared" si="198"/>
        <v>0</v>
      </c>
      <c r="N110" s="59">
        <f t="shared" si="199"/>
        <v>0</v>
      </c>
      <c r="O110" s="59">
        <f t="shared" si="200"/>
        <v>196287</v>
      </c>
      <c r="P110" s="59">
        <v>32737</v>
      </c>
      <c r="Q110" s="59">
        <v>17210</v>
      </c>
      <c r="R110" s="59">
        <f t="shared" si="209"/>
        <v>17210</v>
      </c>
      <c r="S110" s="59"/>
      <c r="T110" s="59"/>
      <c r="U110" s="59"/>
      <c r="V110" s="59">
        <f t="shared" si="218"/>
        <v>17210</v>
      </c>
      <c r="W110" s="59">
        <f t="shared" si="211"/>
        <v>3324.5596584866898</v>
      </c>
      <c r="X110" s="61">
        <v>11779</v>
      </c>
      <c r="Y110" s="62">
        <f t="shared" si="212"/>
        <v>0.20113528855250701</v>
      </c>
      <c r="Z110" s="59">
        <f t="shared" si="213"/>
        <v>500.29338101226</v>
      </c>
      <c r="AA110" s="59">
        <v>8</v>
      </c>
      <c r="AB110" s="59"/>
      <c r="AC110" s="59"/>
      <c r="AD110" s="61">
        <f t="shared" si="219"/>
        <v>196287</v>
      </c>
      <c r="AE110" s="59"/>
      <c r="AF110" s="59"/>
      <c r="AG110" s="59"/>
      <c r="AH110" s="59"/>
      <c r="AI110" s="59"/>
      <c r="AJ110" s="62" t="e">
        <f>VLOOKUP(B:B,表6资金使用成效（12月30日）!B:L,11,0)</f>
        <v>#REF!</v>
      </c>
      <c r="AK110" s="59" t="e">
        <f t="shared" si="215"/>
        <v>#REF!</v>
      </c>
      <c r="AL110" s="61">
        <v>85.510000000000005</v>
      </c>
      <c r="AM110" s="59">
        <f t="shared" si="216"/>
        <v>56.804873715971901</v>
      </c>
      <c r="AN110" s="53" t="e">
        <f t="shared" si="217"/>
        <v>#REF!</v>
      </c>
      <c r="AO110" s="53" t="e">
        <f t="shared" si="201"/>
        <v>#REF!</v>
      </c>
      <c r="AP110" s="42" t="e">
        <f t="shared" si="134"/>
        <v>#REF!</v>
      </c>
      <c r="AQ110" s="59" t="e">
        <f t="shared" si="202"/>
        <v>#REF!</v>
      </c>
      <c r="AR110" s="43" t="e">
        <f t="shared" si="135"/>
        <v>#REF!</v>
      </c>
      <c r="AZ110" s="5" t="s">
        <v>173</v>
      </c>
      <c r="BA110" s="5">
        <v>2078</v>
      </c>
    </row>
    <row r="111" ht="17" customHeight="1">
      <c r="A111" s="46">
        <v>73</v>
      </c>
      <c r="B111" s="82" t="s">
        <v>156</v>
      </c>
      <c r="C111" s="46" t="s">
        <v>90</v>
      </c>
      <c r="D111" s="46">
        <v>2018</v>
      </c>
      <c r="E111" s="46" t="s">
        <v>91</v>
      </c>
      <c r="F111" s="46" t="s">
        <v>146</v>
      </c>
      <c r="G111" s="73">
        <f t="shared" si="207"/>
        <v>3363</v>
      </c>
      <c r="H111" s="73">
        <f t="shared" si="208"/>
        <v>1852.16967398478</v>
      </c>
      <c r="I111" s="73">
        <v>28213</v>
      </c>
      <c r="J111" s="59">
        <f t="shared" si="195"/>
        <v>16927.799999999999</v>
      </c>
      <c r="K111" s="59">
        <f t="shared" si="196"/>
        <v>0</v>
      </c>
      <c r="L111" s="59">
        <f t="shared" si="197"/>
        <v>0</v>
      </c>
      <c r="M111" s="59">
        <f t="shared" si="198"/>
        <v>16927.799999999999</v>
      </c>
      <c r="N111" s="59">
        <f t="shared" si="199"/>
        <v>0</v>
      </c>
      <c r="O111" s="59">
        <f t="shared" si="200"/>
        <v>0</v>
      </c>
      <c r="P111" s="59">
        <v>3750</v>
      </c>
      <c r="Q111" s="59">
        <v>214</v>
      </c>
      <c r="R111" s="59">
        <f t="shared" si="209"/>
        <v>85.599999999999994</v>
      </c>
      <c r="S111" s="59">
        <f t="shared" ref="S111:S118" si="222">Q111*0.4</f>
        <v>85.599999999999994</v>
      </c>
      <c r="T111" s="59"/>
      <c r="U111" s="59"/>
      <c r="V111" s="59"/>
      <c r="W111" s="59">
        <f t="shared" si="211"/>
        <v>280.87072813767401</v>
      </c>
      <c r="X111" s="61">
        <v>11934</v>
      </c>
      <c r="Y111" s="62">
        <f t="shared" si="212"/>
        <v>0.17180700094607401</v>
      </c>
      <c r="Z111" s="59">
        <f t="shared" si="213"/>
        <v>427.34373467463098</v>
      </c>
      <c r="AA111" s="59">
        <v>11</v>
      </c>
      <c r="AB111" s="59"/>
      <c r="AC111" s="59"/>
      <c r="AD111" s="61">
        <f t="shared" si="219"/>
        <v>16927.799999999999</v>
      </c>
      <c r="AE111" s="59" t="e">
        <f t="shared" si="221"/>
        <v>#REF!</v>
      </c>
      <c r="AF111" s="59"/>
      <c r="AG111" s="59"/>
      <c r="AH111" s="59"/>
      <c r="AI111" s="59"/>
      <c r="AJ111" s="62" t="e">
        <f>VLOOKUP(B:B,表6资金使用成效（12月30日）!B:L,11,0)</f>
        <v>#REF!</v>
      </c>
      <c r="AK111" s="59" t="e">
        <f t="shared" si="215"/>
        <v>#REF!</v>
      </c>
      <c r="AL111" s="61">
        <v>92.090000000000003</v>
      </c>
      <c r="AM111" s="59">
        <f t="shared" si="216"/>
        <v>61.176012402103296</v>
      </c>
      <c r="AN111" s="53" t="e">
        <f t="shared" si="217"/>
        <v>#REF!</v>
      </c>
      <c r="AO111" s="53" t="e">
        <f t="shared" si="201"/>
        <v>#REF!</v>
      </c>
      <c r="AP111" s="42" t="e">
        <f t="shared" si="134"/>
        <v>#REF!</v>
      </c>
      <c r="AQ111" s="59" t="e">
        <f t="shared" si="202"/>
        <v>#REF!</v>
      </c>
      <c r="AR111" s="43" t="e">
        <f t="shared" si="135"/>
        <v>#REF!</v>
      </c>
      <c r="AZ111" s="5" t="s">
        <v>174</v>
      </c>
      <c r="BA111" s="5">
        <v>5313</v>
      </c>
    </row>
    <row r="112" ht="17" customHeight="1">
      <c r="A112" s="46">
        <v>74</v>
      </c>
      <c r="B112" s="82" t="s">
        <v>158</v>
      </c>
      <c r="C112" s="46" t="s">
        <v>90</v>
      </c>
      <c r="D112" s="46">
        <v>2018</v>
      </c>
      <c r="E112" s="46" t="s">
        <v>91</v>
      </c>
      <c r="F112" s="46" t="s">
        <v>146</v>
      </c>
      <c r="G112" s="73">
        <f t="shared" si="207"/>
        <v>4633</v>
      </c>
      <c r="H112" s="73">
        <f t="shared" si="208"/>
        <v>2551.6212011809298</v>
      </c>
      <c r="I112" s="73">
        <v>29707</v>
      </c>
      <c r="J112" s="59">
        <f t="shared" si="195"/>
        <v>17824.200000000001</v>
      </c>
      <c r="K112" s="59">
        <f t="shared" si="196"/>
        <v>0</v>
      </c>
      <c r="L112" s="59">
        <f t="shared" si="197"/>
        <v>0</v>
      </c>
      <c r="M112" s="59">
        <f t="shared" si="198"/>
        <v>17824.200000000001</v>
      </c>
      <c r="N112" s="59">
        <f t="shared" si="199"/>
        <v>0</v>
      </c>
      <c r="O112" s="59">
        <f t="shared" si="200"/>
        <v>0</v>
      </c>
      <c r="P112" s="59">
        <v>4533</v>
      </c>
      <c r="Q112" s="59">
        <v>218</v>
      </c>
      <c r="R112" s="59">
        <f t="shared" si="209"/>
        <v>87.200000000000003</v>
      </c>
      <c r="S112" s="59">
        <f t="shared" si="222"/>
        <v>87.200000000000003</v>
      </c>
      <c r="T112" s="59"/>
      <c r="U112" s="59"/>
      <c r="V112" s="59"/>
      <c r="W112" s="59">
        <f t="shared" si="211"/>
        <v>306.20107632777302</v>
      </c>
      <c r="X112" s="61">
        <v>11736</v>
      </c>
      <c r="Y112" s="62">
        <f t="shared" si="212"/>
        <v>0.20927152317880801</v>
      </c>
      <c r="Z112" s="59">
        <f t="shared" si="213"/>
        <v>520.53102483495798</v>
      </c>
      <c r="AA112" s="59">
        <v>14</v>
      </c>
      <c r="AB112" s="59"/>
      <c r="AC112" s="59"/>
      <c r="AD112" s="61">
        <f t="shared" si="219"/>
        <v>17824.200000000001</v>
      </c>
      <c r="AE112" s="59" t="e">
        <f t="shared" si="221"/>
        <v>#REF!</v>
      </c>
      <c r="AF112" s="59"/>
      <c r="AG112" s="59"/>
      <c r="AH112" s="59"/>
      <c r="AI112" s="59"/>
      <c r="AJ112" s="62" t="e">
        <f>VLOOKUP(B:B,表6资金使用成效（12月30日）!B:L,11,0)</f>
        <v>#REF!</v>
      </c>
      <c r="AK112" s="59" t="e">
        <f t="shared" si="215"/>
        <v>#REF!</v>
      </c>
      <c r="AL112" s="61">
        <v>93.129999999999995</v>
      </c>
      <c r="AM112" s="59">
        <f t="shared" si="216"/>
        <v>61.866891464956801</v>
      </c>
      <c r="AN112" s="53" t="e">
        <f t="shared" si="217"/>
        <v>#REF!</v>
      </c>
      <c r="AO112" s="53" t="e">
        <f t="shared" si="201"/>
        <v>#REF!</v>
      </c>
      <c r="AP112" s="42" t="e">
        <f t="shared" si="134"/>
        <v>#REF!</v>
      </c>
      <c r="AQ112" s="59" t="e">
        <f t="shared" si="202"/>
        <v>#REF!</v>
      </c>
      <c r="AR112" s="43" t="e">
        <f t="shared" si="135"/>
        <v>#REF!</v>
      </c>
      <c r="AZ112" s="5" t="s">
        <v>175</v>
      </c>
      <c r="BA112" s="5">
        <v>1380</v>
      </c>
    </row>
    <row r="113" s="64" customFormat="1" ht="27" customHeight="1">
      <c r="A113" s="65"/>
      <c r="B113" s="66" t="s">
        <v>159</v>
      </c>
      <c r="C113" s="67">
        <v>1</v>
      </c>
      <c r="D113" s="67"/>
      <c r="E113" s="67"/>
      <c r="F113" s="67"/>
      <c r="G113" s="87">
        <f>G114+G115</f>
        <v>2997</v>
      </c>
      <c r="H113" s="87">
        <f>H114+H115</f>
        <v>1650.5954543361199</v>
      </c>
      <c r="I113" s="87">
        <f t="shared" ref="I113:O113" si="223">I114+I115</f>
        <v>66152</v>
      </c>
      <c r="J113" s="69">
        <f t="shared" si="223"/>
        <v>28895.599999999999</v>
      </c>
      <c r="K113" s="69">
        <f t="shared" si="223"/>
        <v>2629.5999999999999</v>
      </c>
      <c r="L113" s="69">
        <f t="shared" si="223"/>
        <v>11072.799999999999</v>
      </c>
      <c r="M113" s="69">
        <f t="shared" si="223"/>
        <v>15193.200000000001</v>
      </c>
      <c r="N113" s="69">
        <f t="shared" si="223"/>
        <v>0</v>
      </c>
      <c r="O113" s="69">
        <f t="shared" si="223"/>
        <v>0</v>
      </c>
      <c r="P113" s="69">
        <v>8518</v>
      </c>
      <c r="Q113" s="69">
        <f t="shared" ref="Q113:W113" si="224">Q114+Q115</f>
        <v>753</v>
      </c>
      <c r="R113" s="69">
        <f t="shared" si="224"/>
        <v>301.19999999999999</v>
      </c>
      <c r="S113" s="69">
        <f t="shared" si="224"/>
        <v>301.19999999999999</v>
      </c>
      <c r="T113" s="69">
        <f t="shared" si="224"/>
        <v>0</v>
      </c>
      <c r="U113" s="69">
        <f t="shared" si="224"/>
        <v>0</v>
      </c>
      <c r="V113" s="69">
        <f t="shared" si="224"/>
        <v>0</v>
      </c>
      <c r="W113" s="69">
        <f t="shared" si="224"/>
        <v>519.984725709759</v>
      </c>
      <c r="X113" s="88"/>
      <c r="Y113" s="89">
        <f t="shared" ref="Y113:AI113" si="225">Y114+Y115</f>
        <v>1.2298959318826901e-002</v>
      </c>
      <c r="Z113" s="69">
        <f t="shared" si="225"/>
        <v>30.5917871738447</v>
      </c>
      <c r="AA113" s="69">
        <v>48</v>
      </c>
      <c r="AB113" s="69">
        <f t="shared" si="225"/>
        <v>42938.176470588201</v>
      </c>
      <c r="AC113" s="69">
        <f t="shared" si="225"/>
        <v>42938.176470588303</v>
      </c>
      <c r="AD113" s="90">
        <f t="shared" si="225"/>
        <v>0</v>
      </c>
      <c r="AE113" s="69">
        <f t="shared" si="225"/>
        <v>0</v>
      </c>
      <c r="AF113" s="87">
        <f t="shared" si="225"/>
        <v>0</v>
      </c>
      <c r="AG113" s="87">
        <f t="shared" si="225"/>
        <v>0</v>
      </c>
      <c r="AH113" s="87">
        <f t="shared" si="225"/>
        <v>0</v>
      </c>
      <c r="AI113" s="69">
        <f t="shared" si="225"/>
        <v>0</v>
      </c>
      <c r="AJ113" s="89"/>
      <c r="AK113" s="69" t="e">
        <f t="shared" ref="AK113:AO113" si="226">AK114+AK115</f>
        <v>#REF!</v>
      </c>
      <c r="AL113" s="90">
        <f t="shared" si="226"/>
        <v>277.44</v>
      </c>
      <c r="AM113" s="69">
        <f t="shared" si="226"/>
        <v>184.30527615202001</v>
      </c>
      <c r="AN113" s="87" t="e">
        <f t="shared" si="226"/>
        <v>#REF!</v>
      </c>
      <c r="AO113" s="87" t="e">
        <f t="shared" si="226"/>
        <v>#REF!</v>
      </c>
      <c r="AP113" s="42" t="e">
        <f t="shared" si="134"/>
        <v>#REF!</v>
      </c>
      <c r="AQ113" s="89" t="e">
        <f>AQ114+AQ115</f>
        <v>#REF!</v>
      </c>
      <c r="AR113" s="43" t="e">
        <f t="shared" si="135"/>
        <v>#REF!</v>
      </c>
      <c r="AS113" s="5"/>
      <c r="AT113" s="5"/>
      <c r="AU113" s="5"/>
      <c r="AV113" s="5"/>
      <c r="AW113" s="5"/>
      <c r="AX113" s="5"/>
      <c r="AY113" s="5"/>
      <c r="AZ113" s="5" t="s">
        <v>176</v>
      </c>
      <c r="BA113" s="5">
        <v>16711</v>
      </c>
      <c r="BB113" s="5"/>
      <c r="BC113" s="5"/>
      <c r="BD113" s="5"/>
      <c r="BE113" s="5"/>
      <c r="BF113" s="5"/>
      <c r="BG113" s="5"/>
      <c r="BH113" s="5"/>
      <c r="BI113" s="5"/>
      <c r="BJ113" s="5"/>
      <c r="BK113" s="5"/>
      <c r="BL113" s="5"/>
      <c r="BM113" s="5"/>
      <c r="BN113" s="5"/>
      <c r="BO113" s="5"/>
      <c r="BP113" s="5"/>
      <c r="BQ113" s="5"/>
      <c r="BR113" s="5"/>
      <c r="BS113" s="5"/>
      <c r="BT113" s="5"/>
      <c r="BU113" s="5"/>
      <c r="BV113" s="5"/>
      <c r="BW113" s="5"/>
    </row>
    <row r="114" ht="30" customHeight="1">
      <c r="A114" s="44"/>
      <c r="B114" s="72" t="s">
        <v>160</v>
      </c>
      <c r="C114" s="46">
        <v>2</v>
      </c>
      <c r="D114" s="46"/>
      <c r="E114" s="46"/>
      <c r="F114" s="46"/>
      <c r="G114" s="73"/>
      <c r="H114" s="73"/>
      <c r="I114" s="73"/>
      <c r="J114" s="59">
        <f t="shared" ref="J114:J118" si="227">SUM(K114:O114)</f>
        <v>0</v>
      </c>
      <c r="K114" s="59">
        <f t="shared" ref="K114:K118" si="228">IF(D114="",I114*0.2,0)</f>
        <v>0</v>
      </c>
      <c r="L114" s="59">
        <f t="shared" ref="L114:L118" si="229">IF(D114=2017,I114*0.4,0)</f>
        <v>0</v>
      </c>
      <c r="M114" s="59">
        <f t="shared" ref="M114:M118" si="230">IF(D114=2018,I114*0.6,0)</f>
        <v>0</v>
      </c>
      <c r="N114" s="59">
        <f t="shared" ref="N114:N118" si="231">IF(D114=2019,I114*0.8,0)</f>
        <v>0</v>
      </c>
      <c r="O114" s="59">
        <f t="shared" ref="O114:O118" si="232">IF(D114=2020,I114*1,0)</f>
        <v>0</v>
      </c>
      <c r="P114" s="59"/>
      <c r="Q114" s="59"/>
      <c r="R114" s="59">
        <f>N114*0.4+O114*0.6+P114*0.8+Q114*1</f>
        <v>0</v>
      </c>
      <c r="S114" s="59">
        <f>Q114-T114-U114-V114</f>
        <v>0</v>
      </c>
      <c r="T114" s="59"/>
      <c r="U114" s="59"/>
      <c r="V114" s="59"/>
      <c r="W114" s="59"/>
      <c r="X114" s="61"/>
      <c r="Y114" s="62"/>
      <c r="Z114" s="59"/>
      <c r="AA114" s="59"/>
      <c r="AB114" s="59"/>
      <c r="AC114" s="59"/>
      <c r="AD114" s="61"/>
      <c r="AE114" s="59"/>
      <c r="AF114" s="59"/>
      <c r="AG114" s="59"/>
      <c r="AH114" s="59"/>
      <c r="AI114" s="59"/>
      <c r="AJ114" s="62"/>
      <c r="AK114" s="59" t="e">
        <f>AJ114/$AJ$9*0.05*200000</f>
        <v>#REF!</v>
      </c>
      <c r="AL114" s="61"/>
      <c r="AM114" s="59">
        <f>(AL114/$AL$9)*0.05*200000</f>
        <v>0</v>
      </c>
      <c r="AN114" s="53" t="e">
        <f>ROUND(AM114+AK114+AE114+AC114+Z114+W114,0)</f>
        <v>#REF!</v>
      </c>
      <c r="AO114" s="53" t="e">
        <f t="shared" ref="AO114:AO118" si="233">AN114-G114</f>
        <v>#REF!</v>
      </c>
      <c r="AP114" s="42"/>
      <c r="AQ114" s="62" t="e">
        <f t="shared" ref="AQ114:AQ118" si="234">AN114-H114</f>
        <v>#REF!</v>
      </c>
      <c r="AR114" s="43"/>
      <c r="AZ114" s="5" t="s">
        <v>177</v>
      </c>
      <c r="BA114" s="5">
        <v>0</v>
      </c>
    </row>
    <row r="115" s="74" customFormat="1" ht="17" customHeight="1">
      <c r="A115" s="75"/>
      <c r="B115" s="76" t="s">
        <v>76</v>
      </c>
      <c r="C115" s="77">
        <v>3</v>
      </c>
      <c r="D115" s="77"/>
      <c r="E115" s="77"/>
      <c r="F115" s="77"/>
      <c r="G115" s="91">
        <f>SUM(G116:G118)</f>
        <v>2997</v>
      </c>
      <c r="H115" s="91">
        <f>SUM(H116:H118)</f>
        <v>1650.5954543361199</v>
      </c>
      <c r="I115" s="91">
        <f t="shared" ref="I115:O115" si="235">SUM(I116:I118)</f>
        <v>66152</v>
      </c>
      <c r="J115" s="79">
        <f t="shared" si="235"/>
        <v>28895.599999999999</v>
      </c>
      <c r="K115" s="79">
        <f t="shared" si="235"/>
        <v>2629.5999999999999</v>
      </c>
      <c r="L115" s="79">
        <f t="shared" si="235"/>
        <v>11072.799999999999</v>
      </c>
      <c r="M115" s="79">
        <f t="shared" si="235"/>
        <v>15193.200000000001</v>
      </c>
      <c r="N115" s="79">
        <f t="shared" si="235"/>
        <v>0</v>
      </c>
      <c r="O115" s="79">
        <f t="shared" si="235"/>
        <v>0</v>
      </c>
      <c r="P115" s="79">
        <v>8518</v>
      </c>
      <c r="Q115" s="79">
        <f t="shared" ref="Q115:W115" si="236">SUM(Q116:Q118)</f>
        <v>753</v>
      </c>
      <c r="R115" s="79">
        <f t="shared" si="236"/>
        <v>301.19999999999999</v>
      </c>
      <c r="S115" s="79">
        <f t="shared" si="236"/>
        <v>301.19999999999999</v>
      </c>
      <c r="T115" s="79">
        <f t="shared" si="236"/>
        <v>0</v>
      </c>
      <c r="U115" s="79">
        <f t="shared" si="236"/>
        <v>0</v>
      </c>
      <c r="V115" s="79">
        <f t="shared" si="236"/>
        <v>0</v>
      </c>
      <c r="W115" s="79">
        <f t="shared" si="236"/>
        <v>519.984725709759</v>
      </c>
      <c r="X115" s="92"/>
      <c r="Y115" s="93">
        <f t="shared" ref="Y115:AI115" si="237">SUM(Y116:Y118)</f>
        <v>1.2298959318826901e-002</v>
      </c>
      <c r="Z115" s="79">
        <f t="shared" si="237"/>
        <v>30.5917871738447</v>
      </c>
      <c r="AA115" s="79">
        <v>48</v>
      </c>
      <c r="AB115" s="79">
        <f t="shared" si="237"/>
        <v>42938.176470588201</v>
      </c>
      <c r="AC115" s="79">
        <f t="shared" si="237"/>
        <v>42938.176470588303</v>
      </c>
      <c r="AD115" s="94">
        <f t="shared" si="237"/>
        <v>0</v>
      </c>
      <c r="AE115" s="79">
        <f t="shared" si="237"/>
        <v>0</v>
      </c>
      <c r="AF115" s="91">
        <f t="shared" si="237"/>
        <v>0</v>
      </c>
      <c r="AG115" s="91">
        <f t="shared" si="237"/>
        <v>0</v>
      </c>
      <c r="AH115" s="91">
        <f t="shared" si="237"/>
        <v>0</v>
      </c>
      <c r="AI115" s="79">
        <f t="shared" si="237"/>
        <v>0</v>
      </c>
      <c r="AJ115" s="93"/>
      <c r="AK115" s="79" t="e">
        <f t="shared" ref="AK115:AO115" si="238">SUM(AK116:AK118)</f>
        <v>#REF!</v>
      </c>
      <c r="AL115" s="94">
        <f t="shared" si="238"/>
        <v>277.44</v>
      </c>
      <c r="AM115" s="79">
        <f t="shared" si="238"/>
        <v>184.30527615202001</v>
      </c>
      <c r="AN115" s="91" t="e">
        <f t="shared" si="238"/>
        <v>#REF!</v>
      </c>
      <c r="AO115" s="91" t="e">
        <f t="shared" si="238"/>
        <v>#REF!</v>
      </c>
      <c r="AP115" s="42" t="e">
        <f t="shared" si="134"/>
        <v>#REF!</v>
      </c>
      <c r="AQ115" s="93" t="e">
        <f>SUM(AQ116:AQ118)</f>
        <v>#REF!</v>
      </c>
      <c r="AR115" s="43" t="e">
        <f t="shared" si="135"/>
        <v>#REF!</v>
      </c>
      <c r="AS115" s="5"/>
      <c r="AT115" s="5"/>
      <c r="AU115" s="5"/>
      <c r="AV115" s="5"/>
      <c r="AW115" s="5"/>
      <c r="AX115" s="5"/>
      <c r="AY115" s="5"/>
      <c r="AZ115" s="5" t="s">
        <v>178</v>
      </c>
      <c r="BA115" s="5">
        <v>898</v>
      </c>
      <c r="BB115" s="5"/>
      <c r="BC115" s="5"/>
      <c r="BD115" s="5"/>
      <c r="BE115" s="5"/>
      <c r="BF115" s="5"/>
      <c r="BG115" s="5"/>
      <c r="BH115" s="5"/>
      <c r="BI115" s="5"/>
      <c r="BJ115" s="5"/>
      <c r="BK115" s="5"/>
      <c r="BL115" s="5"/>
      <c r="BM115" s="5"/>
      <c r="BN115" s="5"/>
      <c r="BO115" s="5"/>
      <c r="BP115" s="5"/>
      <c r="BQ115" s="5"/>
      <c r="BR115" s="5"/>
      <c r="BS115" s="5"/>
      <c r="BT115" s="5"/>
      <c r="BU115" s="5"/>
      <c r="BV115" s="5"/>
      <c r="BW115" s="5"/>
    </row>
    <row r="116" ht="17" customHeight="1">
      <c r="A116" s="46">
        <v>75</v>
      </c>
      <c r="B116" s="82" t="s">
        <v>161</v>
      </c>
      <c r="C116" s="46" t="s">
        <v>78</v>
      </c>
      <c r="D116" s="46"/>
      <c r="E116" s="46"/>
      <c r="F116" s="46" t="s">
        <v>146</v>
      </c>
      <c r="G116" s="73">
        <f t="shared" ref="G116:G118" si="239">VLOOKUP(B:B,$AZ:$BA,2,0)</f>
        <v>981</v>
      </c>
      <c r="H116" s="73">
        <f t="shared" ref="H116:H118" si="240">G116*210000/381298.76</f>
        <v>540.28499856647795</v>
      </c>
      <c r="I116" s="73">
        <v>13148</v>
      </c>
      <c r="J116" s="59">
        <f t="shared" si="227"/>
        <v>2629.5999999999999</v>
      </c>
      <c r="K116" s="59">
        <f t="shared" si="228"/>
        <v>2629.5999999999999</v>
      </c>
      <c r="L116" s="59">
        <f t="shared" si="229"/>
        <v>0</v>
      </c>
      <c r="M116" s="59">
        <f t="shared" si="230"/>
        <v>0</v>
      </c>
      <c r="N116" s="59">
        <f t="shared" si="231"/>
        <v>0</v>
      </c>
      <c r="O116" s="59">
        <f t="shared" si="232"/>
        <v>0</v>
      </c>
      <c r="P116" s="59">
        <v>1944</v>
      </c>
      <c r="Q116" s="59">
        <v>173</v>
      </c>
      <c r="R116" s="59">
        <f t="shared" ref="R116:R118" si="241">S116+T116+U116+V116</f>
        <v>69.200000000000003</v>
      </c>
      <c r="S116" s="59">
        <f t="shared" si="222"/>
        <v>69.200000000000003</v>
      </c>
      <c r="T116" s="59"/>
      <c r="U116" s="59"/>
      <c r="V116" s="59"/>
      <c r="W116" s="59">
        <f t="shared" ref="W116:W118" si="242">(J116/$J$9*0.2+P116/$P$9*0.05+R116/$R$9*0.05)*299423</f>
        <v>69.000849471392797</v>
      </c>
      <c r="X116" s="61">
        <v>17615</v>
      </c>
      <c r="Y116" s="62">
        <f t="shared" ref="Y116:Y118" si="243">IF(X116&lt;12842,(12842-X116)/(12842-$X$175),0)</f>
        <v>0</v>
      </c>
      <c r="Z116" s="59">
        <f t="shared" ref="Z116:Z118" si="244">(Y116/$Y$9*0.15)*299423</f>
        <v>0</v>
      </c>
      <c r="AA116" s="59">
        <v>9</v>
      </c>
      <c r="AB116" s="59">
        <f>VLOOKUP(B:B,小康村到县资金!C:I,7,0)</f>
        <v>6386.9705882352901</v>
      </c>
      <c r="AC116" s="59">
        <v>6386.9705882352901</v>
      </c>
      <c r="AD116" s="61"/>
      <c r="AE116" s="59">
        <f t="shared" ref="AE116:AE118" si="245">AD116/$AD$9*71500</f>
        <v>0</v>
      </c>
      <c r="AF116" s="59"/>
      <c r="AG116" s="59"/>
      <c r="AH116" s="59">
        <f>AG116/$AG$13*9347</f>
        <v>0</v>
      </c>
      <c r="AI116" s="59"/>
      <c r="AJ116" s="62" t="e">
        <f>VLOOKUP(B:B,表6资金使用成效（12月30日）!B:L,11,0)</f>
        <v>#REF!</v>
      </c>
      <c r="AK116" s="59" t="e">
        <f t="shared" ref="AK116:AK118" si="246">AJ116/$AJ$9*0.025*299423</f>
        <v>#REF!</v>
      </c>
      <c r="AL116" s="61">
        <v>93.810000000000002</v>
      </c>
      <c r="AM116" s="59">
        <f t="shared" ref="AM116:AM118" si="247">(AL116/$AL$9)*0.025*299423</f>
        <v>62.318620082976501</v>
      </c>
      <c r="AN116" s="53" t="e">
        <f t="shared" ref="AN116:AN118" si="248">ROUND(AM116+AK116+AE116+AC116+Z116+W116+AI116+AF116,0)</f>
        <v>#REF!</v>
      </c>
      <c r="AO116" s="53" t="e">
        <f t="shared" si="233"/>
        <v>#REF!</v>
      </c>
      <c r="AP116" s="42" t="e">
        <f t="shared" si="134"/>
        <v>#REF!</v>
      </c>
      <c r="AQ116" s="59" t="e">
        <f t="shared" si="234"/>
        <v>#REF!</v>
      </c>
      <c r="AR116" s="43" t="e">
        <f t="shared" si="135"/>
        <v>#REF!</v>
      </c>
      <c r="AZ116" s="5" t="s">
        <v>179</v>
      </c>
      <c r="BA116" s="5">
        <v>1596</v>
      </c>
    </row>
    <row r="117" ht="17" customHeight="1">
      <c r="A117" s="46">
        <v>76</v>
      </c>
      <c r="B117" s="82" t="s">
        <v>162</v>
      </c>
      <c r="C117" s="46" t="s">
        <v>90</v>
      </c>
      <c r="D117" s="46">
        <v>2017</v>
      </c>
      <c r="E117" s="46"/>
      <c r="F117" s="46" t="s">
        <v>146</v>
      </c>
      <c r="G117" s="73">
        <f t="shared" si="239"/>
        <v>493</v>
      </c>
      <c r="H117" s="73">
        <f t="shared" si="240"/>
        <v>271.51937236827098</v>
      </c>
      <c r="I117" s="73">
        <v>27682</v>
      </c>
      <c r="J117" s="59">
        <f t="shared" si="227"/>
        <v>11072.799999999999</v>
      </c>
      <c r="K117" s="59">
        <f t="shared" si="228"/>
        <v>0</v>
      </c>
      <c r="L117" s="59">
        <f t="shared" si="229"/>
        <v>11072.799999999999</v>
      </c>
      <c r="M117" s="59">
        <f t="shared" si="230"/>
        <v>0</v>
      </c>
      <c r="N117" s="59">
        <f t="shared" si="231"/>
        <v>0</v>
      </c>
      <c r="O117" s="59">
        <f t="shared" si="232"/>
        <v>0</v>
      </c>
      <c r="P117" s="59">
        <v>3397</v>
      </c>
      <c r="Q117" s="59">
        <v>459</v>
      </c>
      <c r="R117" s="59">
        <f t="shared" si="241"/>
        <v>183.59999999999999</v>
      </c>
      <c r="S117" s="59">
        <f t="shared" si="222"/>
        <v>183.59999999999999</v>
      </c>
      <c r="T117" s="59"/>
      <c r="U117" s="59"/>
      <c r="V117" s="59"/>
      <c r="W117" s="59">
        <f t="shared" si="242"/>
        <v>202.743667241597</v>
      </c>
      <c r="X117" s="61">
        <v>13951</v>
      </c>
      <c r="Y117" s="62">
        <f t="shared" si="243"/>
        <v>0</v>
      </c>
      <c r="Z117" s="59">
        <f t="shared" si="244"/>
        <v>0</v>
      </c>
      <c r="AA117" s="59">
        <v>12</v>
      </c>
      <c r="AB117" s="59">
        <f>VLOOKUP(B:B,小康村到县资金!C:I,7,0)</f>
        <v>9366.2941176470595</v>
      </c>
      <c r="AC117" s="59">
        <v>9366.2941176470595</v>
      </c>
      <c r="AD117" s="61"/>
      <c r="AE117" s="59">
        <f t="shared" si="245"/>
        <v>0</v>
      </c>
      <c r="AF117" s="59"/>
      <c r="AG117" s="59"/>
      <c r="AH117" s="59"/>
      <c r="AI117" s="59"/>
      <c r="AJ117" s="62" t="e">
        <f>VLOOKUP(B:B,表6资金使用成效（12月30日）!B:L,11,0)</f>
        <v>#REF!</v>
      </c>
      <c r="AK117" s="59" t="e">
        <f t="shared" si="246"/>
        <v>#REF!</v>
      </c>
      <c r="AL117" s="61">
        <v>88.930000000000007</v>
      </c>
      <c r="AM117" s="59">
        <f t="shared" si="247"/>
        <v>59.0768029418943</v>
      </c>
      <c r="AN117" s="53" t="e">
        <f t="shared" si="248"/>
        <v>#REF!</v>
      </c>
      <c r="AO117" s="53" t="e">
        <f t="shared" si="233"/>
        <v>#REF!</v>
      </c>
      <c r="AP117" s="42" t="e">
        <f t="shared" si="134"/>
        <v>#REF!</v>
      </c>
      <c r="AQ117" s="59" t="e">
        <f t="shared" si="234"/>
        <v>#REF!</v>
      </c>
      <c r="AR117" s="43" t="e">
        <f t="shared" si="135"/>
        <v>#REF!</v>
      </c>
      <c r="AZ117" s="5" t="s">
        <v>180</v>
      </c>
      <c r="BA117" s="5">
        <v>331</v>
      </c>
    </row>
    <row r="118" ht="17" customHeight="1">
      <c r="A118" s="46">
        <v>77</v>
      </c>
      <c r="B118" s="82" t="s">
        <v>163</v>
      </c>
      <c r="C118" s="46" t="s">
        <v>90</v>
      </c>
      <c r="D118" s="46">
        <v>2018</v>
      </c>
      <c r="E118" s="46"/>
      <c r="F118" s="46" t="s">
        <v>146</v>
      </c>
      <c r="G118" s="73">
        <f t="shared" si="239"/>
        <v>1523</v>
      </c>
      <c r="H118" s="73">
        <f t="shared" si="240"/>
        <v>838.79108340137304</v>
      </c>
      <c r="I118" s="73">
        <v>25322</v>
      </c>
      <c r="J118" s="59">
        <f t="shared" si="227"/>
        <v>15193.200000000001</v>
      </c>
      <c r="K118" s="59">
        <f t="shared" si="228"/>
        <v>0</v>
      </c>
      <c r="L118" s="59">
        <f t="shared" si="229"/>
        <v>0</v>
      </c>
      <c r="M118" s="59">
        <f t="shared" si="230"/>
        <v>15193.200000000001</v>
      </c>
      <c r="N118" s="59">
        <f t="shared" si="231"/>
        <v>0</v>
      </c>
      <c r="O118" s="59">
        <f t="shared" si="232"/>
        <v>0</v>
      </c>
      <c r="P118" s="59">
        <v>3177</v>
      </c>
      <c r="Q118" s="59">
        <v>121</v>
      </c>
      <c r="R118" s="59">
        <f t="shared" si="241"/>
        <v>48.399999999999999</v>
      </c>
      <c r="S118" s="59">
        <f t="shared" si="222"/>
        <v>48.399999999999999</v>
      </c>
      <c r="T118" s="59"/>
      <c r="U118" s="59"/>
      <c r="V118" s="59"/>
      <c r="W118" s="59">
        <f t="shared" si="242"/>
        <v>248.24020899676901</v>
      </c>
      <c r="X118" s="61">
        <v>12777</v>
      </c>
      <c r="Y118" s="62">
        <f t="shared" si="243"/>
        <v>1.2298959318826901e-002</v>
      </c>
      <c r="Z118" s="59">
        <f t="shared" si="244"/>
        <v>30.5917871738447</v>
      </c>
      <c r="AA118" s="59">
        <v>27</v>
      </c>
      <c r="AB118" s="59">
        <f>VLOOKUP(B:B,小康村到县资金!C:I,7,0)</f>
        <v>27184.911764705899</v>
      </c>
      <c r="AC118" s="59">
        <v>27184.911764705899</v>
      </c>
      <c r="AD118" s="61"/>
      <c r="AE118" s="59">
        <f t="shared" si="245"/>
        <v>0</v>
      </c>
      <c r="AF118" s="59"/>
      <c r="AG118" s="59"/>
      <c r="AH118" s="59"/>
      <c r="AI118" s="59"/>
      <c r="AJ118" s="62" t="e">
        <f>VLOOKUP(B:B,表6资金使用成效（12月30日）!B:L,11,0)</f>
        <v>#REF!</v>
      </c>
      <c r="AK118" s="59" t="e">
        <f t="shared" si="246"/>
        <v>#REF!</v>
      </c>
      <c r="AL118" s="61">
        <v>94.700000000000003</v>
      </c>
      <c r="AM118" s="59">
        <f t="shared" si="247"/>
        <v>62.909853127149297</v>
      </c>
      <c r="AN118" s="53" t="e">
        <f t="shared" si="248"/>
        <v>#REF!</v>
      </c>
      <c r="AO118" s="53" t="e">
        <f t="shared" si="233"/>
        <v>#REF!</v>
      </c>
      <c r="AP118" s="42" t="e">
        <f t="shared" si="134"/>
        <v>#REF!</v>
      </c>
      <c r="AQ118" s="59" t="e">
        <f t="shared" si="234"/>
        <v>#REF!</v>
      </c>
      <c r="AR118" s="43" t="e">
        <f t="shared" si="135"/>
        <v>#REF!</v>
      </c>
      <c r="AZ118" s="5" t="s">
        <v>181</v>
      </c>
      <c r="BA118" s="5">
        <v>668</v>
      </c>
    </row>
    <row r="119" s="64" customFormat="1" ht="17" customHeight="1">
      <c r="A119" s="65"/>
      <c r="B119" s="66" t="s">
        <v>164</v>
      </c>
      <c r="C119" s="67">
        <v>1</v>
      </c>
      <c r="D119" s="67"/>
      <c r="E119" s="67"/>
      <c r="F119" s="67"/>
      <c r="G119" s="87">
        <f>G120+G121</f>
        <v>20161</v>
      </c>
      <c r="H119" s="87">
        <f>H120+H121</f>
        <v>11103.655306930399</v>
      </c>
      <c r="I119" s="87">
        <f t="shared" ref="I119:O119" si="249">I120+I121</f>
        <v>310681</v>
      </c>
      <c r="J119" s="69">
        <f t="shared" si="249"/>
        <v>168132.60000000001</v>
      </c>
      <c r="K119" s="69">
        <f t="shared" si="249"/>
        <v>15394.200000000001</v>
      </c>
      <c r="L119" s="69">
        <f t="shared" si="249"/>
        <v>13178</v>
      </c>
      <c r="M119" s="69">
        <f t="shared" si="249"/>
        <v>63154.800000000003</v>
      </c>
      <c r="N119" s="69">
        <f t="shared" si="249"/>
        <v>76405.600000000006</v>
      </c>
      <c r="O119" s="69">
        <f t="shared" si="249"/>
        <v>0</v>
      </c>
      <c r="P119" s="69">
        <v>39411</v>
      </c>
      <c r="Q119" s="69">
        <f t="shared" ref="Q119:W119" si="250">Q120+Q121</f>
        <v>47828</v>
      </c>
      <c r="R119" s="69">
        <f t="shared" si="250"/>
        <v>36452.599999999999</v>
      </c>
      <c r="S119" s="69">
        <f t="shared" si="250"/>
        <v>0</v>
      </c>
      <c r="T119" s="69">
        <f t="shared" si="250"/>
        <v>5429.3999999999996</v>
      </c>
      <c r="U119" s="69">
        <f t="shared" si="250"/>
        <v>31023.200000000001</v>
      </c>
      <c r="V119" s="69">
        <f t="shared" si="250"/>
        <v>0</v>
      </c>
      <c r="W119" s="69">
        <f t="shared" si="250"/>
        <v>3401.2855682996901</v>
      </c>
      <c r="X119" s="88"/>
      <c r="Y119" s="89">
        <f t="shared" ref="Y119:AI119" si="251">Y120+Y121</f>
        <v>0.72431409649952705</v>
      </c>
      <c r="Z119" s="69">
        <f t="shared" si="251"/>
        <v>1801.62094309965</v>
      </c>
      <c r="AA119" s="69">
        <v>0</v>
      </c>
      <c r="AB119" s="69">
        <f t="shared" si="251"/>
        <v>0</v>
      </c>
      <c r="AC119" s="69">
        <f t="shared" si="251"/>
        <v>0</v>
      </c>
      <c r="AD119" s="90">
        <f t="shared" si="251"/>
        <v>76405.600000000006</v>
      </c>
      <c r="AE119" s="69" t="e">
        <f t="shared" si="251"/>
        <v>#REF!</v>
      </c>
      <c r="AF119" s="87">
        <f t="shared" si="251"/>
        <v>0</v>
      </c>
      <c r="AG119" s="87">
        <f t="shared" si="251"/>
        <v>61</v>
      </c>
      <c r="AH119" s="87">
        <f t="shared" si="251"/>
        <v>775.68464730290498</v>
      </c>
      <c r="AI119" s="69">
        <f t="shared" si="251"/>
        <v>0</v>
      </c>
      <c r="AJ119" s="89"/>
      <c r="AK119" s="69" t="e">
        <f t="shared" ref="AK119:AO119" si="252">AK120+AK121</f>
        <v>#REF!</v>
      </c>
      <c r="AL119" s="90">
        <f t="shared" si="252"/>
        <v>904.28999999999996</v>
      </c>
      <c r="AM119" s="69">
        <f t="shared" si="252"/>
        <v>600.72598821911095</v>
      </c>
      <c r="AN119" s="87" t="e">
        <f t="shared" si="252"/>
        <v>#REF!</v>
      </c>
      <c r="AO119" s="87" t="e">
        <f t="shared" si="252"/>
        <v>#REF!</v>
      </c>
      <c r="AP119" s="42" t="e">
        <f t="shared" si="134"/>
        <v>#REF!</v>
      </c>
      <c r="AQ119" s="89" t="e">
        <f>AQ120+AQ121</f>
        <v>#REF!</v>
      </c>
      <c r="AR119" s="43" t="e">
        <f t="shared" si="135"/>
        <v>#REF!</v>
      </c>
      <c r="AS119" s="5"/>
      <c r="AT119" s="5"/>
      <c r="AU119" s="5"/>
      <c r="AV119" s="5"/>
      <c r="AW119" s="5"/>
      <c r="AX119" s="5"/>
      <c r="AY119" s="5"/>
      <c r="AZ119" s="5" t="s">
        <v>182</v>
      </c>
      <c r="BA119" s="5">
        <v>2520</v>
      </c>
      <c r="BB119" s="5"/>
      <c r="BC119" s="5"/>
      <c r="BD119" s="5"/>
      <c r="BE119" s="5"/>
      <c r="BF119" s="5"/>
      <c r="BG119" s="5"/>
      <c r="BH119" s="5"/>
      <c r="BI119" s="5"/>
      <c r="BJ119" s="5"/>
      <c r="BK119" s="5"/>
      <c r="BL119" s="5"/>
      <c r="BM119" s="5"/>
      <c r="BN119" s="5"/>
      <c r="BO119" s="5"/>
      <c r="BP119" s="5"/>
      <c r="BQ119" s="5"/>
      <c r="BR119" s="5"/>
      <c r="BS119" s="5"/>
      <c r="BT119" s="5"/>
      <c r="BU119" s="5"/>
      <c r="BV119" s="5"/>
      <c r="BW119" s="5"/>
    </row>
    <row r="120" ht="17" customHeight="1">
      <c r="A120" s="44"/>
      <c r="B120" s="72" t="s">
        <v>165</v>
      </c>
      <c r="C120" s="46">
        <v>2</v>
      </c>
      <c r="D120" s="46"/>
      <c r="E120" s="46"/>
      <c r="F120" s="46"/>
      <c r="G120" s="73"/>
      <c r="H120" s="73"/>
      <c r="I120" s="73"/>
      <c r="J120" s="59">
        <f t="shared" ref="J120:J131" si="253">SUM(K120:O120)</f>
        <v>0</v>
      </c>
      <c r="K120" s="59">
        <f t="shared" ref="K120:K131" si="254">IF(D120="",I120*0.2,0)</f>
        <v>0</v>
      </c>
      <c r="L120" s="59">
        <f t="shared" ref="L120:L131" si="255">IF(D120=2017,I120*0.4,0)</f>
        <v>0</v>
      </c>
      <c r="M120" s="59">
        <f t="shared" ref="M120:M131" si="256">IF(D120=2018,I120*0.6,0)</f>
        <v>0</v>
      </c>
      <c r="N120" s="59">
        <f t="shared" ref="N120:N131" si="257">IF(D120=2019,I120*0.8,0)</f>
        <v>0</v>
      </c>
      <c r="O120" s="59">
        <f t="shared" ref="O120:O131" si="258">IF(D120=2020,I120*1,0)</f>
        <v>0</v>
      </c>
      <c r="P120" s="59"/>
      <c r="Q120" s="59"/>
      <c r="R120" s="59">
        <f>N120*0.4+O120*0.6+P120*0.8+Q120*1</f>
        <v>0</v>
      </c>
      <c r="S120" s="59">
        <f>Q120-T120-U120-V120</f>
        <v>0</v>
      </c>
      <c r="T120" s="59"/>
      <c r="U120" s="59"/>
      <c r="V120" s="59"/>
      <c r="W120" s="59"/>
      <c r="X120" s="61"/>
      <c r="Y120" s="62"/>
      <c r="Z120" s="59"/>
      <c r="AA120" s="59"/>
      <c r="AB120" s="59"/>
      <c r="AC120" s="59"/>
      <c r="AD120" s="61"/>
      <c r="AE120" s="59"/>
      <c r="AF120" s="59"/>
      <c r="AG120" s="59"/>
      <c r="AH120" s="59"/>
      <c r="AI120" s="59"/>
      <c r="AJ120" s="62"/>
      <c r="AK120" s="59" t="e">
        <f>AJ120/$AJ$9*0.05*200000</f>
        <v>#REF!</v>
      </c>
      <c r="AL120" s="61"/>
      <c r="AM120" s="59">
        <f>(AL120/$AL$9)*0.05*200000</f>
        <v>0</v>
      </c>
      <c r="AN120" s="53" t="e">
        <f>ROUND(AM120+AK120+AE120+AC120+Z120+W120,0)</f>
        <v>#REF!</v>
      </c>
      <c r="AO120" s="53" t="e">
        <f t="shared" ref="AO120:AO131" si="259">AN120-G120</f>
        <v>#REF!</v>
      </c>
      <c r="AP120" s="42"/>
      <c r="AQ120" s="62" t="e">
        <f t="shared" ref="AQ120:AQ131" si="260">AN120-H120</f>
        <v>#REF!</v>
      </c>
      <c r="AR120" s="43"/>
      <c r="AZ120" s="5" t="s">
        <v>183</v>
      </c>
      <c r="BA120" s="5">
        <v>2955</v>
      </c>
    </row>
    <row r="121" s="74" customFormat="1" ht="17" customHeight="1">
      <c r="A121" s="75"/>
      <c r="B121" s="76" t="s">
        <v>76</v>
      </c>
      <c r="C121" s="77">
        <v>3</v>
      </c>
      <c r="D121" s="77"/>
      <c r="E121" s="77"/>
      <c r="F121" s="77"/>
      <c r="G121" s="91">
        <f>SUM(G122:G131)</f>
        <v>20161</v>
      </c>
      <c r="H121" s="91">
        <f>SUM(H122:H131)</f>
        <v>11103.655306930399</v>
      </c>
      <c r="I121" s="91">
        <f t="shared" ref="I121:O121" si="261">SUM(I122:I131)</f>
        <v>310681</v>
      </c>
      <c r="J121" s="79">
        <f t="shared" si="261"/>
        <v>168132.60000000001</v>
      </c>
      <c r="K121" s="79">
        <f t="shared" si="261"/>
        <v>15394.200000000001</v>
      </c>
      <c r="L121" s="79">
        <f t="shared" si="261"/>
        <v>13178</v>
      </c>
      <c r="M121" s="79">
        <f t="shared" si="261"/>
        <v>63154.800000000003</v>
      </c>
      <c r="N121" s="79">
        <f t="shared" si="261"/>
        <v>76405.600000000006</v>
      </c>
      <c r="O121" s="79">
        <f t="shared" si="261"/>
        <v>0</v>
      </c>
      <c r="P121" s="79">
        <v>39411</v>
      </c>
      <c r="Q121" s="79">
        <f t="shared" ref="Q121:W121" si="262">SUM(Q122:Q131)</f>
        <v>47828</v>
      </c>
      <c r="R121" s="79">
        <f t="shared" si="262"/>
        <v>36452.599999999999</v>
      </c>
      <c r="S121" s="79">
        <f t="shared" si="262"/>
        <v>0</v>
      </c>
      <c r="T121" s="79">
        <f t="shared" si="262"/>
        <v>5429.3999999999996</v>
      </c>
      <c r="U121" s="79">
        <f t="shared" si="262"/>
        <v>31023.200000000001</v>
      </c>
      <c r="V121" s="79">
        <f t="shared" si="262"/>
        <v>0</v>
      </c>
      <c r="W121" s="79">
        <f t="shared" si="262"/>
        <v>3401.2855682996901</v>
      </c>
      <c r="X121" s="92"/>
      <c r="Y121" s="93">
        <f t="shared" ref="Y121:AI121" si="263">SUM(Y122:Y131)</f>
        <v>0.72431409649952705</v>
      </c>
      <c r="Z121" s="79">
        <f t="shared" si="263"/>
        <v>1801.62094309965</v>
      </c>
      <c r="AA121" s="79">
        <v>0</v>
      </c>
      <c r="AB121" s="79">
        <f t="shared" si="263"/>
        <v>0</v>
      </c>
      <c r="AC121" s="79">
        <f t="shared" si="263"/>
        <v>0</v>
      </c>
      <c r="AD121" s="94">
        <f t="shared" si="263"/>
        <v>76405.600000000006</v>
      </c>
      <c r="AE121" s="79" t="e">
        <f t="shared" si="263"/>
        <v>#REF!</v>
      </c>
      <c r="AF121" s="91">
        <f t="shared" si="263"/>
        <v>0</v>
      </c>
      <c r="AG121" s="91">
        <f t="shared" si="263"/>
        <v>61</v>
      </c>
      <c r="AH121" s="91">
        <f t="shared" si="263"/>
        <v>775.68464730290498</v>
      </c>
      <c r="AI121" s="79">
        <f t="shared" si="263"/>
        <v>0</v>
      </c>
      <c r="AJ121" s="93"/>
      <c r="AK121" s="79" t="e">
        <f t="shared" ref="AK121:AO121" si="264">SUM(AK122:AK131)</f>
        <v>#REF!</v>
      </c>
      <c r="AL121" s="94">
        <f t="shared" si="264"/>
        <v>904.28999999999996</v>
      </c>
      <c r="AM121" s="79">
        <f t="shared" si="264"/>
        <v>600.72598821911095</v>
      </c>
      <c r="AN121" s="91" t="e">
        <f t="shared" si="264"/>
        <v>#REF!</v>
      </c>
      <c r="AO121" s="91" t="e">
        <f t="shared" si="264"/>
        <v>#REF!</v>
      </c>
      <c r="AP121" s="42" t="e">
        <f t="shared" si="134"/>
        <v>#REF!</v>
      </c>
      <c r="AQ121" s="93" t="e">
        <f>SUM(AQ122:AQ131)</f>
        <v>#REF!</v>
      </c>
      <c r="AR121" s="43" t="e">
        <f t="shared" si="135"/>
        <v>#REF!</v>
      </c>
      <c r="AS121" s="5"/>
      <c r="AT121" s="5"/>
      <c r="AU121" s="5"/>
      <c r="AV121" s="5"/>
      <c r="AW121" s="5"/>
      <c r="AX121" s="5"/>
      <c r="AY121" s="5"/>
      <c r="AZ121" s="5" t="s">
        <v>184</v>
      </c>
      <c r="BA121" s="5">
        <v>699</v>
      </c>
      <c r="BB121" s="5"/>
      <c r="BC121" s="5"/>
      <c r="BD121" s="5"/>
      <c r="BE121" s="5"/>
      <c r="BF121" s="5"/>
      <c r="BG121" s="5"/>
      <c r="BH121" s="5"/>
      <c r="BI121" s="5"/>
      <c r="BJ121" s="5"/>
      <c r="BK121" s="5"/>
      <c r="BL121" s="5"/>
      <c r="BM121" s="5"/>
      <c r="BN121" s="5"/>
      <c r="BO121" s="5"/>
      <c r="BP121" s="5"/>
      <c r="BQ121" s="5"/>
      <c r="BR121" s="5"/>
      <c r="BS121" s="5"/>
      <c r="BT121" s="5"/>
      <c r="BU121" s="5"/>
      <c r="BV121" s="5"/>
      <c r="BW121" s="5"/>
    </row>
    <row r="122" ht="17" customHeight="1">
      <c r="A122" s="46">
        <v>78</v>
      </c>
      <c r="B122" s="82" t="s">
        <v>166</v>
      </c>
      <c r="C122" s="46" t="s">
        <v>78</v>
      </c>
      <c r="D122" s="46"/>
      <c r="E122" s="46"/>
      <c r="F122" s="46"/>
      <c r="G122" s="73">
        <f t="shared" ref="G122:G131" si="265">VLOOKUP(B:B,$AZ:$BA,2,0)</f>
        <v>2346</v>
      </c>
      <c r="H122" s="73">
        <f t="shared" ref="H122:H131" si="266">G122*210000/381298.76</f>
        <v>1292.0577029938399</v>
      </c>
      <c r="I122" s="73">
        <v>33951</v>
      </c>
      <c r="J122" s="59">
        <f t="shared" si="253"/>
        <v>6790.1999999999998</v>
      </c>
      <c r="K122" s="59">
        <f t="shared" si="254"/>
        <v>6790.1999999999998</v>
      </c>
      <c r="L122" s="59">
        <f t="shared" si="255"/>
        <v>0</v>
      </c>
      <c r="M122" s="59">
        <f t="shared" si="256"/>
        <v>0</v>
      </c>
      <c r="N122" s="59">
        <f t="shared" si="257"/>
        <v>0</v>
      </c>
      <c r="O122" s="59">
        <f t="shared" si="258"/>
        <v>0</v>
      </c>
      <c r="P122" s="59">
        <v>4732</v>
      </c>
      <c r="Q122" s="59">
        <v>1850</v>
      </c>
      <c r="R122" s="59">
        <f t="shared" ref="R122:R131" si="267">S122+T122+U122+V122</f>
        <v>1110</v>
      </c>
      <c r="S122" s="59"/>
      <c r="T122" s="59">
        <f t="shared" ref="T122:T128" si="268">Q122*0.6</f>
        <v>1110</v>
      </c>
      <c r="U122" s="59"/>
      <c r="V122" s="59"/>
      <c r="W122" s="59">
        <f t="shared" ref="W122:W131" si="269">(J122/$J$9*0.2+P122/$P$9*0.05+R122/$R$9*0.05)*299423</f>
        <v>187.982227811288</v>
      </c>
      <c r="X122" s="61">
        <v>13751</v>
      </c>
      <c r="Y122" s="62">
        <f t="shared" ref="Y122:Y131" si="270">IF(X122&lt;12842,(12842-X122)/(12842-$X$175),0)</f>
        <v>0</v>
      </c>
      <c r="Z122" s="59">
        <f t="shared" ref="Z122:Z131" si="271">(Y122/$Y$9*0.15)*299423</f>
        <v>0</v>
      </c>
      <c r="AA122" s="59"/>
      <c r="AB122" s="59"/>
      <c r="AC122" s="59"/>
      <c r="AD122" s="61"/>
      <c r="AE122" s="59">
        <f t="shared" ref="AE122:AE131" si="272">AD122/$AD$9*71500</f>
        <v>0</v>
      </c>
      <c r="AF122" s="59"/>
      <c r="AG122" s="59">
        <v>6</v>
      </c>
      <c r="AH122" s="59">
        <f>AG122/$AG$13*9347</f>
        <v>232.705394190871</v>
      </c>
      <c r="AI122" s="59"/>
      <c r="AJ122" s="62" t="e">
        <f>VLOOKUP(B:B,表6资金使用成效（12月30日）!B:L,11,0)</f>
        <v>#REF!</v>
      </c>
      <c r="AK122" s="59" t="e">
        <f t="shared" ref="AK122:AK131" si="273">AJ122/$AJ$9*0.025*299423</f>
        <v>#REF!</v>
      </c>
      <c r="AL122" s="61">
        <v>93.790000000000006</v>
      </c>
      <c r="AM122" s="59">
        <f t="shared" ref="AM122:AM131" si="274">(AL122/$AL$9)*0.025*299423</f>
        <v>62.305333947152398</v>
      </c>
      <c r="AN122" s="53" t="e">
        <f t="shared" ref="AN122:AN131" si="275">ROUND(AM122+AK122+AE122+AC122+Z122+W122+AI122+AF122,0)</f>
        <v>#REF!</v>
      </c>
      <c r="AO122" s="53" t="e">
        <f t="shared" si="259"/>
        <v>#REF!</v>
      </c>
      <c r="AP122" s="42" t="e">
        <f t="shared" si="134"/>
        <v>#REF!</v>
      </c>
      <c r="AQ122" s="59" t="e">
        <f t="shared" si="260"/>
        <v>#REF!</v>
      </c>
      <c r="AR122" s="43" t="e">
        <f t="shared" si="135"/>
        <v>#REF!</v>
      </c>
      <c r="AZ122" s="5" t="s">
        <v>185</v>
      </c>
      <c r="BA122" s="5">
        <v>1482</v>
      </c>
    </row>
    <row r="123" ht="17" customHeight="1">
      <c r="A123" s="46">
        <v>79</v>
      </c>
      <c r="B123" s="82" t="s">
        <v>167</v>
      </c>
      <c r="C123" s="46" t="s">
        <v>90</v>
      </c>
      <c r="D123" s="46">
        <v>2018</v>
      </c>
      <c r="E123" s="46"/>
      <c r="F123" s="46"/>
      <c r="G123" s="73">
        <f t="shared" si="265"/>
        <v>1998</v>
      </c>
      <c r="H123" s="73">
        <f t="shared" si="266"/>
        <v>1100.3969695574101</v>
      </c>
      <c r="I123" s="73">
        <v>22402</v>
      </c>
      <c r="J123" s="59">
        <f t="shared" si="253"/>
        <v>13441.200000000001</v>
      </c>
      <c r="K123" s="59">
        <f t="shared" si="254"/>
        <v>0</v>
      </c>
      <c r="L123" s="59">
        <f t="shared" si="255"/>
        <v>0</v>
      </c>
      <c r="M123" s="59">
        <f t="shared" si="256"/>
        <v>13441.200000000001</v>
      </c>
      <c r="N123" s="59">
        <f t="shared" si="257"/>
        <v>0</v>
      </c>
      <c r="O123" s="59">
        <f t="shared" si="258"/>
        <v>0</v>
      </c>
      <c r="P123" s="59">
        <v>3446</v>
      </c>
      <c r="Q123" s="59">
        <v>5801</v>
      </c>
      <c r="R123" s="59">
        <f t="shared" si="267"/>
        <v>4640.8000000000002</v>
      </c>
      <c r="S123" s="59"/>
      <c r="T123" s="59"/>
      <c r="U123" s="59">
        <f t="shared" ref="U123:U131" si="276">Q123*0.8</f>
        <v>4640.8000000000002</v>
      </c>
      <c r="V123" s="59"/>
      <c r="W123" s="59">
        <f t="shared" si="269"/>
        <v>304.99397735351602</v>
      </c>
      <c r="X123" s="61">
        <v>12095</v>
      </c>
      <c r="Y123" s="62">
        <f t="shared" si="270"/>
        <v>0.14134342478713299</v>
      </c>
      <c r="Z123" s="59">
        <f t="shared" si="271"/>
        <v>351.57023105941499</v>
      </c>
      <c r="AA123" s="59"/>
      <c r="AB123" s="59"/>
      <c r="AC123" s="59"/>
      <c r="AD123" s="61"/>
      <c r="AE123" s="59">
        <f t="shared" si="272"/>
        <v>0</v>
      </c>
      <c r="AF123" s="59"/>
      <c r="AG123" s="59">
        <v>5</v>
      </c>
      <c r="AH123" s="59"/>
      <c r="AI123" s="59"/>
      <c r="AJ123" s="62" t="e">
        <f>VLOOKUP(B:B,表6资金使用成效（12月30日）!B:L,11,0)</f>
        <v>#REF!</v>
      </c>
      <c r="AK123" s="59" t="e">
        <f t="shared" si="273"/>
        <v>#REF!</v>
      </c>
      <c r="AL123" s="61">
        <v>89.129999999999995</v>
      </c>
      <c r="AM123" s="59">
        <f t="shared" si="274"/>
        <v>59.209664300135302</v>
      </c>
      <c r="AN123" s="53" t="e">
        <f t="shared" si="275"/>
        <v>#REF!</v>
      </c>
      <c r="AO123" s="53" t="e">
        <f t="shared" si="259"/>
        <v>#REF!</v>
      </c>
      <c r="AP123" s="42" t="e">
        <f t="shared" si="134"/>
        <v>#REF!</v>
      </c>
      <c r="AQ123" s="59" t="e">
        <f t="shared" si="260"/>
        <v>#REF!</v>
      </c>
      <c r="AR123" s="43" t="e">
        <f t="shared" si="135"/>
        <v>#REF!</v>
      </c>
      <c r="AZ123" s="5" t="s">
        <v>186</v>
      </c>
      <c r="BA123" s="5">
        <v>2272</v>
      </c>
    </row>
    <row r="124" ht="17" customHeight="1">
      <c r="A124" s="46">
        <v>80</v>
      </c>
      <c r="B124" s="82" t="s">
        <v>168</v>
      </c>
      <c r="C124" s="46" t="s">
        <v>90</v>
      </c>
      <c r="D124" s="46">
        <v>2017</v>
      </c>
      <c r="E124" s="46"/>
      <c r="F124" s="46"/>
      <c r="G124" s="73">
        <f t="shared" si="265"/>
        <v>367</v>
      </c>
      <c r="H124" s="73">
        <f t="shared" si="266"/>
        <v>202.12496888266801</v>
      </c>
      <c r="I124" s="73">
        <v>10255</v>
      </c>
      <c r="J124" s="59">
        <f t="shared" si="253"/>
        <v>4102</v>
      </c>
      <c r="K124" s="59">
        <f t="shared" si="254"/>
        <v>0</v>
      </c>
      <c r="L124" s="59">
        <f t="shared" si="255"/>
        <v>4102</v>
      </c>
      <c r="M124" s="59">
        <f t="shared" si="256"/>
        <v>0</v>
      </c>
      <c r="N124" s="59">
        <f t="shared" si="257"/>
        <v>0</v>
      </c>
      <c r="O124" s="59">
        <f t="shared" si="258"/>
        <v>0</v>
      </c>
      <c r="P124" s="59">
        <v>2278</v>
      </c>
      <c r="Q124" s="59">
        <v>2106</v>
      </c>
      <c r="R124" s="59">
        <f t="shared" si="267"/>
        <v>1263.5999999999999</v>
      </c>
      <c r="S124" s="59"/>
      <c r="T124" s="59">
        <f t="shared" si="268"/>
        <v>1263.5999999999999</v>
      </c>
      <c r="U124" s="59"/>
      <c r="V124" s="59"/>
      <c r="W124" s="59">
        <f t="shared" si="269"/>
        <v>112.66438451229401</v>
      </c>
      <c r="X124" s="61">
        <v>12243</v>
      </c>
      <c r="Y124" s="62">
        <f t="shared" si="270"/>
        <v>0.11333964049195799</v>
      </c>
      <c r="Z124" s="59">
        <f t="shared" si="271"/>
        <v>281.91508487896903</v>
      </c>
      <c r="AA124" s="59"/>
      <c r="AB124" s="59"/>
      <c r="AC124" s="59"/>
      <c r="AD124" s="61"/>
      <c r="AE124" s="59">
        <f t="shared" si="272"/>
        <v>0</v>
      </c>
      <c r="AF124" s="59"/>
      <c r="AG124" s="59">
        <v>5</v>
      </c>
      <c r="AH124" s="59"/>
      <c r="AI124" s="59"/>
      <c r="AJ124" s="62" t="e">
        <f>VLOOKUP(B:B,表6资金使用成效（12月30日）!B:L,11,0)</f>
        <v>#REF!</v>
      </c>
      <c r="AK124" s="59" t="e">
        <f t="shared" si="273"/>
        <v>#REF!</v>
      </c>
      <c r="AL124" s="61">
        <v>91.090000000000003</v>
      </c>
      <c r="AM124" s="59">
        <f t="shared" si="274"/>
        <v>60.511705610897899</v>
      </c>
      <c r="AN124" s="53" t="e">
        <f t="shared" si="275"/>
        <v>#REF!</v>
      </c>
      <c r="AO124" s="53" t="e">
        <f t="shared" si="259"/>
        <v>#REF!</v>
      </c>
      <c r="AP124" s="42" t="e">
        <f t="shared" si="134"/>
        <v>#REF!</v>
      </c>
      <c r="AQ124" s="59" t="e">
        <f t="shared" si="260"/>
        <v>#REF!</v>
      </c>
      <c r="AR124" s="43" t="e">
        <f t="shared" si="135"/>
        <v>#REF!</v>
      </c>
      <c r="AZ124" s="5" t="s">
        <v>187</v>
      </c>
      <c r="BA124" s="5">
        <v>414</v>
      </c>
    </row>
    <row r="125" ht="17" customHeight="1">
      <c r="A125" s="46">
        <v>81</v>
      </c>
      <c r="B125" s="82" t="s">
        <v>169</v>
      </c>
      <c r="C125" s="46" t="s">
        <v>90</v>
      </c>
      <c r="D125" s="46">
        <v>2018</v>
      </c>
      <c r="E125" s="46"/>
      <c r="F125" s="46"/>
      <c r="G125" s="73">
        <f t="shared" si="265"/>
        <v>1082</v>
      </c>
      <c r="H125" s="73">
        <f t="shared" si="266"/>
        <v>595.91067120176297</v>
      </c>
      <c r="I125" s="73">
        <v>25551</v>
      </c>
      <c r="J125" s="59">
        <f t="shared" si="253"/>
        <v>15330.6</v>
      </c>
      <c r="K125" s="59">
        <f t="shared" si="254"/>
        <v>0</v>
      </c>
      <c r="L125" s="59">
        <f t="shared" si="255"/>
        <v>0</v>
      </c>
      <c r="M125" s="59">
        <f t="shared" si="256"/>
        <v>15330.6</v>
      </c>
      <c r="N125" s="59">
        <f t="shared" si="257"/>
        <v>0</v>
      </c>
      <c r="O125" s="59">
        <f t="shared" si="258"/>
        <v>0</v>
      </c>
      <c r="P125" s="59">
        <v>3794</v>
      </c>
      <c r="Q125" s="59">
        <v>5198</v>
      </c>
      <c r="R125" s="59">
        <f t="shared" si="267"/>
        <v>4158.3999999999996</v>
      </c>
      <c r="S125" s="59"/>
      <c r="T125" s="59"/>
      <c r="U125" s="59">
        <f t="shared" si="276"/>
        <v>4158.3999999999996</v>
      </c>
      <c r="V125" s="59"/>
      <c r="W125" s="59">
        <f t="shared" si="269"/>
        <v>327.16202697583299</v>
      </c>
      <c r="X125" s="61">
        <v>12564</v>
      </c>
      <c r="Y125" s="62">
        <f t="shared" si="270"/>
        <v>5.26017029328288e-002</v>
      </c>
      <c r="Z125" s="59">
        <f t="shared" si="271"/>
        <v>130.83872052813601</v>
      </c>
      <c r="AA125" s="59"/>
      <c r="AB125" s="59"/>
      <c r="AC125" s="59"/>
      <c r="AD125" s="61"/>
      <c r="AE125" s="59">
        <f t="shared" si="272"/>
        <v>0</v>
      </c>
      <c r="AF125" s="59"/>
      <c r="AG125" s="59">
        <v>6</v>
      </c>
      <c r="AH125" s="59"/>
      <c r="AI125" s="59"/>
      <c r="AJ125" s="62" t="e">
        <f>VLOOKUP(B:B,表6资金使用成效（12月30日）!B:L,11,0)</f>
        <v>#REF!</v>
      </c>
      <c r="AK125" s="59" t="e">
        <f t="shared" si="273"/>
        <v>#REF!</v>
      </c>
      <c r="AL125" s="61">
        <v>92.640000000000001</v>
      </c>
      <c r="AM125" s="59">
        <f t="shared" si="274"/>
        <v>61.5413811372662</v>
      </c>
      <c r="AN125" s="53" t="e">
        <f t="shared" si="275"/>
        <v>#REF!</v>
      </c>
      <c r="AO125" s="53" t="e">
        <f t="shared" si="259"/>
        <v>#REF!</v>
      </c>
      <c r="AP125" s="42" t="e">
        <f t="shared" si="134"/>
        <v>#REF!</v>
      </c>
      <c r="AQ125" s="59" t="e">
        <f t="shared" si="260"/>
        <v>#REF!</v>
      </c>
      <c r="AR125" s="43" t="e">
        <f t="shared" si="135"/>
        <v>#REF!</v>
      </c>
      <c r="AZ125" s="5" t="s">
        <v>188</v>
      </c>
      <c r="BA125" s="5">
        <v>1837</v>
      </c>
    </row>
    <row r="126" ht="17" customHeight="1">
      <c r="A126" s="46">
        <v>82</v>
      </c>
      <c r="B126" s="82" t="s">
        <v>170</v>
      </c>
      <c r="C126" s="46" t="s">
        <v>90</v>
      </c>
      <c r="D126" s="46">
        <v>2017</v>
      </c>
      <c r="E126" s="46"/>
      <c r="F126" s="46"/>
      <c r="G126" s="73">
        <f t="shared" si="265"/>
        <v>1219</v>
      </c>
      <c r="H126" s="73">
        <f t="shared" si="266"/>
        <v>671.36331626150604</v>
      </c>
      <c r="I126" s="73">
        <v>22690</v>
      </c>
      <c r="J126" s="59">
        <f t="shared" si="253"/>
        <v>9076</v>
      </c>
      <c r="K126" s="59">
        <f t="shared" si="254"/>
        <v>0</v>
      </c>
      <c r="L126" s="59">
        <f t="shared" si="255"/>
        <v>9076</v>
      </c>
      <c r="M126" s="59">
        <f t="shared" si="256"/>
        <v>0</v>
      </c>
      <c r="N126" s="59">
        <f t="shared" si="257"/>
        <v>0</v>
      </c>
      <c r="O126" s="59">
        <f t="shared" si="258"/>
        <v>0</v>
      </c>
      <c r="P126" s="59">
        <v>2081</v>
      </c>
      <c r="Q126" s="59">
        <v>2771</v>
      </c>
      <c r="R126" s="59">
        <f t="shared" si="267"/>
        <v>1662.5999999999999</v>
      </c>
      <c r="S126" s="59"/>
      <c r="T126" s="59">
        <f t="shared" si="268"/>
        <v>1662.5999999999999</v>
      </c>
      <c r="U126" s="59"/>
      <c r="V126" s="59"/>
      <c r="W126" s="59">
        <f t="shared" si="269"/>
        <v>177.86204204258101</v>
      </c>
      <c r="X126" s="61">
        <v>12890</v>
      </c>
      <c r="Y126" s="62">
        <f t="shared" si="270"/>
        <v>0</v>
      </c>
      <c r="Z126" s="59">
        <f t="shared" si="271"/>
        <v>0</v>
      </c>
      <c r="AA126" s="59"/>
      <c r="AB126" s="59"/>
      <c r="AC126" s="59"/>
      <c r="AD126" s="61"/>
      <c r="AE126" s="59">
        <f t="shared" si="272"/>
        <v>0</v>
      </c>
      <c r="AF126" s="59"/>
      <c r="AG126" s="59">
        <v>7</v>
      </c>
      <c r="AH126" s="59"/>
      <c r="AI126" s="59"/>
      <c r="AJ126" s="62" t="e">
        <f>VLOOKUP(B:B,表6资金使用成效（12月30日）!B:L,11,0)</f>
        <v>#REF!</v>
      </c>
      <c r="AK126" s="59" t="e">
        <f t="shared" si="273"/>
        <v>#REF!</v>
      </c>
      <c r="AL126" s="61">
        <v>93.329999999999998</v>
      </c>
      <c r="AM126" s="59">
        <f t="shared" si="274"/>
        <v>61.999752823197902</v>
      </c>
      <c r="AN126" s="53" t="e">
        <f t="shared" si="275"/>
        <v>#REF!</v>
      </c>
      <c r="AO126" s="53" t="e">
        <f t="shared" si="259"/>
        <v>#REF!</v>
      </c>
      <c r="AP126" s="42" t="e">
        <f t="shared" si="134"/>
        <v>#REF!</v>
      </c>
      <c r="AQ126" s="59" t="e">
        <f t="shared" si="260"/>
        <v>#REF!</v>
      </c>
      <c r="AR126" s="43" t="e">
        <f t="shared" si="135"/>
        <v>#REF!</v>
      </c>
      <c r="AZ126" s="5" t="s">
        <v>189</v>
      </c>
      <c r="BA126" s="5">
        <v>1039</v>
      </c>
    </row>
    <row r="127" ht="17" customHeight="1">
      <c r="A127" s="46">
        <v>83</v>
      </c>
      <c r="B127" s="82" t="s">
        <v>171</v>
      </c>
      <c r="C127" s="46" t="s">
        <v>90</v>
      </c>
      <c r="D127" s="46">
        <v>2018</v>
      </c>
      <c r="E127" s="46"/>
      <c r="F127" s="46"/>
      <c r="G127" s="73">
        <f t="shared" si="265"/>
        <v>1437</v>
      </c>
      <c r="H127" s="73">
        <f t="shared" si="266"/>
        <v>791.42664927627902</v>
      </c>
      <c r="I127" s="73">
        <v>36343</v>
      </c>
      <c r="J127" s="59">
        <f t="shared" si="253"/>
        <v>21805.799999999999</v>
      </c>
      <c r="K127" s="59">
        <f t="shared" si="254"/>
        <v>0</v>
      </c>
      <c r="L127" s="59">
        <f t="shared" si="255"/>
        <v>0</v>
      </c>
      <c r="M127" s="59">
        <f t="shared" si="256"/>
        <v>21805.799999999999</v>
      </c>
      <c r="N127" s="59">
        <f t="shared" si="257"/>
        <v>0</v>
      </c>
      <c r="O127" s="59">
        <f t="shared" si="258"/>
        <v>0</v>
      </c>
      <c r="P127" s="59">
        <v>4488</v>
      </c>
      <c r="Q127" s="59">
        <v>9495</v>
      </c>
      <c r="R127" s="59">
        <f t="shared" si="267"/>
        <v>7596</v>
      </c>
      <c r="S127" s="59"/>
      <c r="T127" s="59"/>
      <c r="U127" s="59">
        <f t="shared" si="276"/>
        <v>7596</v>
      </c>
      <c r="V127" s="59"/>
      <c r="W127" s="59">
        <f t="shared" si="269"/>
        <v>476.05989537190999</v>
      </c>
      <c r="X127" s="61">
        <v>12484</v>
      </c>
      <c r="Y127" s="62">
        <f t="shared" si="270"/>
        <v>6.7738883632923394e-002</v>
      </c>
      <c r="Z127" s="59">
        <f t="shared" si="271"/>
        <v>168.49015089594499</v>
      </c>
      <c r="AA127" s="59"/>
      <c r="AB127" s="59"/>
      <c r="AC127" s="59"/>
      <c r="AD127" s="61"/>
      <c r="AE127" s="59">
        <f t="shared" si="272"/>
        <v>0</v>
      </c>
      <c r="AF127" s="59"/>
      <c r="AG127" s="59">
        <v>7</v>
      </c>
      <c r="AH127" s="59"/>
      <c r="AI127" s="59"/>
      <c r="AJ127" s="62" t="e">
        <f>VLOOKUP(B:B,表6资金使用成效（12月30日）!B:L,11,0)</f>
        <v>#REF!</v>
      </c>
      <c r="AK127" s="59" t="e">
        <f t="shared" si="273"/>
        <v>#REF!</v>
      </c>
      <c r="AL127" s="61">
        <v>92.579999999999998</v>
      </c>
      <c r="AM127" s="59">
        <f t="shared" si="274"/>
        <v>61.501522729793898</v>
      </c>
      <c r="AN127" s="53" t="e">
        <f t="shared" si="275"/>
        <v>#REF!</v>
      </c>
      <c r="AO127" s="53" t="e">
        <f t="shared" si="259"/>
        <v>#REF!</v>
      </c>
      <c r="AP127" s="42" t="e">
        <f t="shared" si="134"/>
        <v>#REF!</v>
      </c>
      <c r="AQ127" s="59" t="e">
        <f t="shared" si="260"/>
        <v>#REF!</v>
      </c>
      <c r="AR127" s="43" t="e">
        <f t="shared" si="135"/>
        <v>#REF!</v>
      </c>
      <c r="AZ127" s="5" t="s">
        <v>190</v>
      </c>
      <c r="BA127" s="5">
        <v>10058</v>
      </c>
    </row>
    <row r="128" ht="17" customHeight="1">
      <c r="A128" s="46">
        <v>84</v>
      </c>
      <c r="B128" s="82" t="s">
        <v>172</v>
      </c>
      <c r="C128" s="46" t="s">
        <v>90</v>
      </c>
      <c r="D128" s="46">
        <v>2018</v>
      </c>
      <c r="E128" s="46"/>
      <c r="F128" s="46"/>
      <c r="G128" s="73">
        <f t="shared" si="265"/>
        <v>2941</v>
      </c>
      <c r="H128" s="73">
        <f t="shared" si="266"/>
        <v>1619.7534972314099</v>
      </c>
      <c r="I128" s="73">
        <v>20962</v>
      </c>
      <c r="J128" s="59">
        <f t="shared" si="253"/>
        <v>12577.200000000001</v>
      </c>
      <c r="K128" s="59">
        <f t="shared" si="254"/>
        <v>0</v>
      </c>
      <c r="L128" s="59">
        <f t="shared" si="255"/>
        <v>0</v>
      </c>
      <c r="M128" s="59">
        <f t="shared" si="256"/>
        <v>12577.200000000001</v>
      </c>
      <c r="N128" s="59">
        <f t="shared" si="257"/>
        <v>0</v>
      </c>
      <c r="O128" s="59">
        <f t="shared" si="258"/>
        <v>0</v>
      </c>
      <c r="P128" s="59">
        <v>3031</v>
      </c>
      <c r="Q128" s="59">
        <v>2322</v>
      </c>
      <c r="R128" s="59">
        <f t="shared" si="267"/>
        <v>1393.2</v>
      </c>
      <c r="S128" s="59"/>
      <c r="T128" s="59">
        <f t="shared" si="268"/>
        <v>1393.2</v>
      </c>
      <c r="U128" s="59"/>
      <c r="V128" s="59"/>
      <c r="W128" s="59">
        <f t="shared" si="269"/>
        <v>234.471050645487</v>
      </c>
      <c r="X128" s="61">
        <v>11922</v>
      </c>
      <c r="Y128" s="62">
        <f t="shared" si="270"/>
        <v>0.17407757805108801</v>
      </c>
      <c r="Z128" s="59">
        <f t="shared" si="271"/>
        <v>432.99144922980201</v>
      </c>
      <c r="AA128" s="59"/>
      <c r="AB128" s="59"/>
      <c r="AC128" s="59"/>
      <c r="AD128" s="61"/>
      <c r="AE128" s="59">
        <f t="shared" si="272"/>
        <v>0</v>
      </c>
      <c r="AF128" s="59"/>
      <c r="AG128" s="59">
        <v>6</v>
      </c>
      <c r="AH128" s="59"/>
      <c r="AI128" s="59"/>
      <c r="AJ128" s="62" t="e">
        <f>VLOOKUP(B:B,表6资金使用成效（12月30日）!B:L,11,0)</f>
        <v>#REF!</v>
      </c>
      <c r="AK128" s="59" t="e">
        <f t="shared" si="273"/>
        <v>#REF!</v>
      </c>
      <c r="AL128" s="61">
        <v>91.019999999999996</v>
      </c>
      <c r="AM128" s="59">
        <f t="shared" si="274"/>
        <v>60.465204135513503</v>
      </c>
      <c r="AN128" s="53" t="e">
        <f t="shared" si="275"/>
        <v>#REF!</v>
      </c>
      <c r="AO128" s="53" t="e">
        <f t="shared" si="259"/>
        <v>#REF!</v>
      </c>
      <c r="AP128" s="42" t="e">
        <f t="shared" si="134"/>
        <v>#REF!</v>
      </c>
      <c r="AQ128" s="59" t="e">
        <f t="shared" si="260"/>
        <v>#REF!</v>
      </c>
      <c r="AR128" s="43" t="e">
        <f t="shared" si="135"/>
        <v>#REF!</v>
      </c>
      <c r="AZ128" s="5" t="s">
        <v>191</v>
      </c>
      <c r="BA128" s="5">
        <v>0</v>
      </c>
    </row>
    <row r="129" ht="17" customHeight="1">
      <c r="A129" s="46">
        <v>85</v>
      </c>
      <c r="B129" s="82" t="s">
        <v>173</v>
      </c>
      <c r="C129" s="46" t="s">
        <v>78</v>
      </c>
      <c r="D129" s="46"/>
      <c r="E129" s="46"/>
      <c r="F129" s="46"/>
      <c r="G129" s="73">
        <f t="shared" si="265"/>
        <v>2078</v>
      </c>
      <c r="H129" s="73">
        <f t="shared" si="266"/>
        <v>1144.4569082784301</v>
      </c>
      <c r="I129" s="73">
        <v>18733</v>
      </c>
      <c r="J129" s="59">
        <f t="shared" si="253"/>
        <v>3746.5999999999999</v>
      </c>
      <c r="K129" s="59">
        <f t="shared" si="254"/>
        <v>3746.5999999999999</v>
      </c>
      <c r="L129" s="59">
        <f t="shared" si="255"/>
        <v>0</v>
      </c>
      <c r="M129" s="59">
        <f t="shared" si="256"/>
        <v>0</v>
      </c>
      <c r="N129" s="59">
        <f t="shared" si="257"/>
        <v>0</v>
      </c>
      <c r="O129" s="59">
        <f t="shared" si="258"/>
        <v>0</v>
      </c>
      <c r="P129" s="59">
        <v>2225</v>
      </c>
      <c r="Q129" s="59">
        <v>3836</v>
      </c>
      <c r="R129" s="59">
        <f t="shared" si="267"/>
        <v>3068.8000000000002</v>
      </c>
      <c r="S129" s="59"/>
      <c r="T129" s="59"/>
      <c r="U129" s="59">
        <f t="shared" si="276"/>
        <v>3068.8000000000002</v>
      </c>
      <c r="V129" s="59"/>
      <c r="W129" s="59">
        <f t="shared" si="269"/>
        <v>136.29604818195801</v>
      </c>
      <c r="X129" s="61">
        <v>14671</v>
      </c>
      <c r="Y129" s="62">
        <f t="shared" si="270"/>
        <v>0</v>
      </c>
      <c r="Z129" s="59">
        <f t="shared" si="271"/>
        <v>0</v>
      </c>
      <c r="AA129" s="59"/>
      <c r="AB129" s="59"/>
      <c r="AC129" s="59"/>
      <c r="AD129" s="61"/>
      <c r="AE129" s="59">
        <f t="shared" si="272"/>
        <v>0</v>
      </c>
      <c r="AF129" s="59"/>
      <c r="AG129" s="59">
        <v>8</v>
      </c>
      <c r="AH129" s="59">
        <f>AG129/$AG$13*9347</f>
        <v>310.273858921162</v>
      </c>
      <c r="AI129" s="59"/>
      <c r="AJ129" s="62" t="e">
        <f>VLOOKUP(B:B,表6资金使用成效（12月30日）!B:L,11,0)</f>
        <v>#REF!</v>
      </c>
      <c r="AK129" s="59" t="e">
        <f t="shared" si="273"/>
        <v>#REF!</v>
      </c>
      <c r="AL129" s="61">
        <v>91.400000000000006</v>
      </c>
      <c r="AM129" s="59">
        <f t="shared" si="274"/>
        <v>60.717640716171601</v>
      </c>
      <c r="AN129" s="53" t="e">
        <f t="shared" si="275"/>
        <v>#REF!</v>
      </c>
      <c r="AO129" s="53" t="e">
        <f t="shared" si="259"/>
        <v>#REF!</v>
      </c>
      <c r="AP129" s="42" t="e">
        <f t="shared" si="134"/>
        <v>#REF!</v>
      </c>
      <c r="AQ129" s="59" t="e">
        <f t="shared" si="260"/>
        <v>#REF!</v>
      </c>
      <c r="AR129" s="43" t="e">
        <f t="shared" si="135"/>
        <v>#REF!</v>
      </c>
      <c r="AZ129" s="5" t="s">
        <v>192</v>
      </c>
      <c r="BA129" s="5">
        <v>1025</v>
      </c>
    </row>
    <row r="130" ht="17" customHeight="1">
      <c r="A130" s="46">
        <v>86</v>
      </c>
      <c r="B130" s="82" t="s">
        <v>174</v>
      </c>
      <c r="C130" s="46" t="s">
        <v>93</v>
      </c>
      <c r="D130" s="46">
        <v>2019</v>
      </c>
      <c r="E130" s="46" t="s">
        <v>94</v>
      </c>
      <c r="F130" s="46"/>
      <c r="G130" s="73">
        <f t="shared" si="265"/>
        <v>5313</v>
      </c>
      <c r="H130" s="73">
        <f t="shared" si="266"/>
        <v>2926.1306803095799</v>
      </c>
      <c r="I130" s="73">
        <v>95507</v>
      </c>
      <c r="J130" s="59">
        <f t="shared" si="253"/>
        <v>76405.600000000006</v>
      </c>
      <c r="K130" s="59">
        <f t="shared" si="254"/>
        <v>0</v>
      </c>
      <c r="L130" s="59">
        <f t="shared" si="255"/>
        <v>0</v>
      </c>
      <c r="M130" s="59">
        <f t="shared" si="256"/>
        <v>0</v>
      </c>
      <c r="N130" s="59">
        <f t="shared" si="257"/>
        <v>76405.600000000006</v>
      </c>
      <c r="O130" s="59">
        <f t="shared" si="258"/>
        <v>0</v>
      </c>
      <c r="P130" s="59">
        <v>10525</v>
      </c>
      <c r="Q130" s="59">
        <v>9638</v>
      </c>
      <c r="R130" s="59">
        <f t="shared" si="267"/>
        <v>7710.3999999999996</v>
      </c>
      <c r="S130" s="59"/>
      <c r="T130" s="59"/>
      <c r="U130" s="59">
        <f t="shared" si="276"/>
        <v>7710.3999999999996</v>
      </c>
      <c r="V130" s="59"/>
      <c r="W130" s="59">
        <f t="shared" si="269"/>
        <v>1270.50127886168</v>
      </c>
      <c r="X130" s="61">
        <v>11916</v>
      </c>
      <c r="Y130" s="62">
        <f t="shared" si="270"/>
        <v>0.175212866603595</v>
      </c>
      <c r="Z130" s="59">
        <f t="shared" si="271"/>
        <v>435.81530650738802</v>
      </c>
      <c r="AA130" s="59"/>
      <c r="AB130" s="59"/>
      <c r="AC130" s="59"/>
      <c r="AD130" s="61">
        <f>J130</f>
        <v>76405.600000000006</v>
      </c>
      <c r="AE130" s="59" t="e">
        <f>H130-W130-Z130-AC130-AK130-AM130</f>
        <v>#REF!</v>
      </c>
      <c r="AF130" s="59"/>
      <c r="AG130" s="59">
        <v>5</v>
      </c>
      <c r="AH130" s="59"/>
      <c r="AI130" s="59"/>
      <c r="AJ130" s="62" t="e">
        <f>VLOOKUP(B:B,表6资金使用成效（12月30日）!B:L,11,0)</f>
        <v>#REF!</v>
      </c>
      <c r="AK130" s="59" t="e">
        <f t="shared" si="273"/>
        <v>#REF!</v>
      </c>
      <c r="AL130" s="61">
        <v>79.790000000000006</v>
      </c>
      <c r="AM130" s="59">
        <f t="shared" si="274"/>
        <v>53.005038870277097</v>
      </c>
      <c r="AN130" s="53" t="e">
        <f t="shared" si="275"/>
        <v>#REF!</v>
      </c>
      <c r="AO130" s="53" t="e">
        <f t="shared" si="259"/>
        <v>#REF!</v>
      </c>
      <c r="AP130" s="42" t="e">
        <f t="shared" si="134"/>
        <v>#REF!</v>
      </c>
      <c r="AQ130" s="59" t="e">
        <f t="shared" si="260"/>
        <v>#REF!</v>
      </c>
      <c r="AR130" s="43" t="e">
        <f t="shared" si="135"/>
        <v>#REF!</v>
      </c>
      <c r="AZ130" s="5" t="s">
        <v>193</v>
      </c>
      <c r="BA130" s="5">
        <v>2787</v>
      </c>
    </row>
    <row r="131" ht="17" customHeight="1">
      <c r="A131" s="46">
        <v>87</v>
      </c>
      <c r="B131" s="82" t="s">
        <v>175</v>
      </c>
      <c r="C131" s="46" t="s">
        <v>78</v>
      </c>
      <c r="D131" s="46"/>
      <c r="E131" s="46"/>
      <c r="F131" s="46"/>
      <c r="G131" s="73">
        <f t="shared" si="265"/>
        <v>1380</v>
      </c>
      <c r="H131" s="73">
        <f t="shared" si="266"/>
        <v>760.033942937554</v>
      </c>
      <c r="I131" s="73">
        <v>24287</v>
      </c>
      <c r="J131" s="59">
        <f t="shared" si="253"/>
        <v>4857.3999999999996</v>
      </c>
      <c r="K131" s="59">
        <f t="shared" si="254"/>
        <v>4857.3999999999996</v>
      </c>
      <c r="L131" s="59">
        <f t="shared" si="255"/>
        <v>0</v>
      </c>
      <c r="M131" s="59">
        <f t="shared" si="256"/>
        <v>0</v>
      </c>
      <c r="N131" s="59">
        <f t="shared" si="257"/>
        <v>0</v>
      </c>
      <c r="O131" s="59">
        <f t="shared" si="258"/>
        <v>0</v>
      </c>
      <c r="P131" s="59">
        <v>2811</v>
      </c>
      <c r="Q131" s="59">
        <v>4811</v>
      </c>
      <c r="R131" s="59">
        <f t="shared" si="267"/>
        <v>3848.8000000000002</v>
      </c>
      <c r="S131" s="59"/>
      <c r="T131" s="59"/>
      <c r="U131" s="59">
        <f t="shared" si="276"/>
        <v>3848.8000000000002</v>
      </c>
      <c r="V131" s="59"/>
      <c r="W131" s="59">
        <f t="shared" si="269"/>
        <v>173.292636543139</v>
      </c>
      <c r="X131" s="61">
        <v>14035</v>
      </c>
      <c r="Y131" s="62">
        <f t="shared" si="270"/>
        <v>0</v>
      </c>
      <c r="Z131" s="59">
        <f t="shared" si="271"/>
        <v>0</v>
      </c>
      <c r="AA131" s="59"/>
      <c r="AB131" s="59"/>
      <c r="AC131" s="59"/>
      <c r="AD131" s="61"/>
      <c r="AE131" s="59">
        <f t="shared" si="272"/>
        <v>0</v>
      </c>
      <c r="AF131" s="59"/>
      <c r="AG131" s="59">
        <v>6</v>
      </c>
      <c r="AH131" s="59">
        <f>AG131/$AG$13*9347</f>
        <v>232.705394190871</v>
      </c>
      <c r="AI131" s="59"/>
      <c r="AJ131" s="62" t="e">
        <f>VLOOKUP(B:B,表6资金使用成效（12月30日）!B:L,11,0)</f>
        <v>#REF!</v>
      </c>
      <c r="AK131" s="59" t="e">
        <f t="shared" si="273"/>
        <v>#REF!</v>
      </c>
      <c r="AL131" s="61">
        <v>89.519999999999996</v>
      </c>
      <c r="AM131" s="59">
        <f t="shared" si="274"/>
        <v>59.468743948705402</v>
      </c>
      <c r="AN131" s="53" t="e">
        <f t="shared" si="275"/>
        <v>#REF!</v>
      </c>
      <c r="AO131" s="53" t="e">
        <f t="shared" si="259"/>
        <v>#REF!</v>
      </c>
      <c r="AP131" s="42" t="e">
        <f t="shared" si="134"/>
        <v>#REF!</v>
      </c>
      <c r="AQ131" s="59" t="e">
        <f t="shared" si="260"/>
        <v>#REF!</v>
      </c>
      <c r="AR131" s="43" t="e">
        <f t="shared" si="135"/>
        <v>#REF!</v>
      </c>
      <c r="AZ131" s="5" t="s">
        <v>194</v>
      </c>
      <c r="BA131" s="5">
        <v>2102</v>
      </c>
    </row>
    <row r="132" s="64" customFormat="1" ht="17" customHeight="1">
      <c r="A132" s="65"/>
      <c r="B132" s="66" t="s">
        <v>176</v>
      </c>
      <c r="C132" s="67">
        <v>1</v>
      </c>
      <c r="D132" s="67"/>
      <c r="E132" s="67"/>
      <c r="F132" s="67"/>
      <c r="G132" s="87">
        <f>G133+G134</f>
        <v>16711</v>
      </c>
      <c r="H132" s="87">
        <f>H133+H134</f>
        <v>9203.5704495865702</v>
      </c>
      <c r="I132" s="87">
        <f t="shared" ref="I132:O132" si="277">I133+I134</f>
        <v>392543</v>
      </c>
      <c r="J132" s="69">
        <f t="shared" si="277"/>
        <v>226634.79999999999</v>
      </c>
      <c r="K132" s="69">
        <f t="shared" si="277"/>
        <v>2894.1999999999998</v>
      </c>
      <c r="L132" s="69">
        <f t="shared" si="277"/>
        <v>60852</v>
      </c>
      <c r="M132" s="69">
        <f t="shared" si="277"/>
        <v>53595</v>
      </c>
      <c r="N132" s="69">
        <f t="shared" si="277"/>
        <v>109293.60000000001</v>
      </c>
      <c r="O132" s="69">
        <f t="shared" si="277"/>
        <v>0</v>
      </c>
      <c r="P132" s="69">
        <v>36980</v>
      </c>
      <c r="Q132" s="69">
        <f t="shared" ref="Q132:W132" si="278">Q133+Q134</f>
        <v>17911</v>
      </c>
      <c r="R132" s="69">
        <f t="shared" si="278"/>
        <v>11488</v>
      </c>
      <c r="S132" s="69">
        <f t="shared" si="278"/>
        <v>372</v>
      </c>
      <c r="T132" s="69">
        <f t="shared" si="278"/>
        <v>7406.3999999999996</v>
      </c>
      <c r="U132" s="69">
        <f t="shared" si="278"/>
        <v>3709.5999999999999</v>
      </c>
      <c r="V132" s="69">
        <f t="shared" si="278"/>
        <v>0</v>
      </c>
      <c r="W132" s="69">
        <f t="shared" si="278"/>
        <v>3689.01691330008</v>
      </c>
      <c r="X132" s="88"/>
      <c r="Y132" s="89">
        <f t="shared" ref="Y132:AI132" si="279">Y133+Y134</f>
        <v>1.48003784295175</v>
      </c>
      <c r="Z132" s="69">
        <f t="shared" si="279"/>
        <v>3681.36860421251</v>
      </c>
      <c r="AA132" s="69">
        <v>0</v>
      </c>
      <c r="AB132" s="69">
        <f t="shared" si="279"/>
        <v>0</v>
      </c>
      <c r="AC132" s="69">
        <f t="shared" si="279"/>
        <v>0</v>
      </c>
      <c r="AD132" s="90">
        <f t="shared" si="279"/>
        <v>176397.60000000001</v>
      </c>
      <c r="AE132" s="69" t="e">
        <f t="shared" si="279"/>
        <v>#REF!</v>
      </c>
      <c r="AF132" s="87">
        <f t="shared" si="279"/>
        <v>0</v>
      </c>
      <c r="AG132" s="87">
        <f t="shared" si="279"/>
        <v>81</v>
      </c>
      <c r="AH132" s="87">
        <f t="shared" si="279"/>
        <v>1124.7427385892099</v>
      </c>
      <c r="AI132" s="69">
        <f t="shared" si="279"/>
        <v>2000</v>
      </c>
      <c r="AJ132" s="89"/>
      <c r="AK132" s="69" t="e">
        <f t="shared" ref="AK132:AO132" si="280">AK133+AK134</f>
        <v>#REF!</v>
      </c>
      <c r="AL132" s="90">
        <f t="shared" si="280"/>
        <v>1098.49</v>
      </c>
      <c r="AM132" s="69">
        <f t="shared" si="280"/>
        <v>729.73436707119595</v>
      </c>
      <c r="AN132" s="87" t="e">
        <f t="shared" si="280"/>
        <v>#REF!</v>
      </c>
      <c r="AO132" s="87" t="e">
        <f t="shared" si="280"/>
        <v>#REF!</v>
      </c>
      <c r="AP132" s="42" t="e">
        <f t="shared" si="134"/>
        <v>#REF!</v>
      </c>
      <c r="AQ132" s="89" t="e">
        <f>AQ133+AQ134</f>
        <v>#REF!</v>
      </c>
      <c r="AR132" s="43" t="e">
        <f t="shared" si="135"/>
        <v>#REF!</v>
      </c>
      <c r="AS132" s="5"/>
      <c r="AT132" s="5"/>
      <c r="AU132" s="5"/>
      <c r="AV132" s="5"/>
      <c r="AW132" s="5"/>
      <c r="AX132" s="5"/>
      <c r="AY132" s="5"/>
      <c r="AZ132" s="5" t="s">
        <v>195</v>
      </c>
      <c r="BA132" s="5">
        <v>1872</v>
      </c>
      <c r="BB132" s="5"/>
      <c r="BC132" s="5"/>
      <c r="BD132" s="5"/>
      <c r="BE132" s="5"/>
      <c r="BF132" s="5"/>
      <c r="BG132" s="5"/>
      <c r="BH132" s="5"/>
      <c r="BI132" s="5"/>
      <c r="BJ132" s="5"/>
      <c r="BK132" s="5"/>
      <c r="BL132" s="5"/>
      <c r="BM132" s="5"/>
      <c r="BN132" s="5"/>
      <c r="BO132" s="5"/>
      <c r="BP132" s="5"/>
      <c r="BQ132" s="5"/>
      <c r="BR132" s="5"/>
      <c r="BS132" s="5"/>
      <c r="BT132" s="5"/>
      <c r="BU132" s="5"/>
      <c r="BV132" s="5"/>
      <c r="BW132" s="5"/>
    </row>
    <row r="133" ht="17" customHeight="1">
      <c r="A133" s="44"/>
      <c r="B133" s="72" t="s">
        <v>177</v>
      </c>
      <c r="C133" s="46">
        <v>2</v>
      </c>
      <c r="D133" s="46"/>
      <c r="E133" s="46"/>
      <c r="F133" s="46"/>
      <c r="G133" s="73"/>
      <c r="H133" s="73"/>
      <c r="I133" s="73"/>
      <c r="J133" s="59">
        <f t="shared" ref="J133:J146" si="281">SUM(K133:O133)</f>
        <v>0</v>
      </c>
      <c r="K133" s="59">
        <f t="shared" ref="K133:K146" si="282">IF(D133="",I133*0.2,0)</f>
        <v>0</v>
      </c>
      <c r="L133" s="59">
        <f t="shared" ref="L133:L146" si="283">IF(D133=2017,I133*0.4,0)</f>
        <v>0</v>
      </c>
      <c r="M133" s="59">
        <f t="shared" ref="M133:M146" si="284">IF(D133=2018,I133*0.6,0)</f>
        <v>0</v>
      </c>
      <c r="N133" s="59">
        <f t="shared" ref="N133:N146" si="285">IF(D133=2019,I133*0.8,0)</f>
        <v>0</v>
      </c>
      <c r="O133" s="59">
        <f t="shared" ref="O133:O146" si="286">IF(D133=2020,I133*1,0)</f>
        <v>0</v>
      </c>
      <c r="P133" s="59"/>
      <c r="Q133" s="59"/>
      <c r="R133" s="59">
        <f>N133*0.4+O133*0.6+P133*0.8+Q133*1</f>
        <v>0</v>
      </c>
      <c r="S133" s="59">
        <f>Q133-T133-U133-V133</f>
        <v>0</v>
      </c>
      <c r="T133" s="59"/>
      <c r="U133" s="59"/>
      <c r="V133" s="59"/>
      <c r="W133" s="59"/>
      <c r="X133" s="61"/>
      <c r="Y133" s="62"/>
      <c r="Z133" s="59"/>
      <c r="AA133" s="59"/>
      <c r="AB133" s="59"/>
      <c r="AC133" s="59"/>
      <c r="AD133" s="61"/>
      <c r="AE133" s="59"/>
      <c r="AF133" s="59"/>
      <c r="AG133" s="59"/>
      <c r="AH133" s="59"/>
      <c r="AI133" s="59"/>
      <c r="AJ133" s="62"/>
      <c r="AK133" s="59" t="e">
        <f>AJ133/$AJ$9*0.05*200000</f>
        <v>#REF!</v>
      </c>
      <c r="AL133" s="61"/>
      <c r="AM133" s="59">
        <f>(AL133/$AL$9)*0.05*200000</f>
        <v>0</v>
      </c>
      <c r="AN133" s="53" t="e">
        <f>ROUND(AM133+AK133+AE133+AC133+Z133+W133,0)</f>
        <v>#REF!</v>
      </c>
      <c r="AO133" s="53" t="e">
        <f t="shared" ref="AO133:AO146" si="287">AN133-G133</f>
        <v>#REF!</v>
      </c>
      <c r="AP133" s="42"/>
      <c r="AQ133" s="62" t="e">
        <f t="shared" ref="AQ133:AQ146" si="288">AN133-H133</f>
        <v>#REF!</v>
      </c>
      <c r="AR133" s="43"/>
      <c r="AZ133" s="5" t="s">
        <v>196</v>
      </c>
      <c r="BA133" s="5">
        <v>2272</v>
      </c>
    </row>
    <row r="134" s="74" customFormat="1" ht="17" customHeight="1">
      <c r="A134" s="75"/>
      <c r="B134" s="76" t="s">
        <v>76</v>
      </c>
      <c r="C134" s="77">
        <v>3</v>
      </c>
      <c r="D134" s="77"/>
      <c r="E134" s="77"/>
      <c r="F134" s="77"/>
      <c r="G134" s="91">
        <f>SUM(G135:G146)</f>
        <v>16711</v>
      </c>
      <c r="H134" s="91">
        <f>SUM(H135:H146)</f>
        <v>9203.5704495865702</v>
      </c>
      <c r="I134" s="91">
        <f t="shared" ref="I134:O134" si="289">SUM(I135:I146)</f>
        <v>392543</v>
      </c>
      <c r="J134" s="79">
        <f t="shared" si="289"/>
        <v>226634.79999999999</v>
      </c>
      <c r="K134" s="79">
        <f t="shared" si="289"/>
        <v>2894.1999999999998</v>
      </c>
      <c r="L134" s="79">
        <f t="shared" si="289"/>
        <v>60852</v>
      </c>
      <c r="M134" s="79">
        <f t="shared" si="289"/>
        <v>53595</v>
      </c>
      <c r="N134" s="79">
        <f t="shared" si="289"/>
        <v>109293.60000000001</v>
      </c>
      <c r="O134" s="79">
        <f t="shared" si="289"/>
        <v>0</v>
      </c>
      <c r="P134" s="79">
        <v>36980</v>
      </c>
      <c r="Q134" s="79">
        <f t="shared" ref="Q134:W134" si="290">SUM(Q135:Q146)</f>
        <v>17911</v>
      </c>
      <c r="R134" s="79">
        <f t="shared" si="290"/>
        <v>11488</v>
      </c>
      <c r="S134" s="79">
        <f t="shared" si="290"/>
        <v>372</v>
      </c>
      <c r="T134" s="79">
        <f t="shared" si="290"/>
        <v>7406.3999999999996</v>
      </c>
      <c r="U134" s="79">
        <f t="shared" si="290"/>
        <v>3709.5999999999999</v>
      </c>
      <c r="V134" s="79">
        <f t="shared" si="290"/>
        <v>0</v>
      </c>
      <c r="W134" s="79">
        <f t="shared" si="290"/>
        <v>3689.01691330008</v>
      </c>
      <c r="X134" s="92"/>
      <c r="Y134" s="93">
        <f t="shared" ref="Y134:AI134" si="291">SUM(Y135:Y146)</f>
        <v>1.48003784295175</v>
      </c>
      <c r="Z134" s="79">
        <f t="shared" si="291"/>
        <v>3681.36860421251</v>
      </c>
      <c r="AA134" s="79">
        <v>0</v>
      </c>
      <c r="AB134" s="79">
        <f t="shared" si="291"/>
        <v>0</v>
      </c>
      <c r="AC134" s="79">
        <f t="shared" si="291"/>
        <v>0</v>
      </c>
      <c r="AD134" s="94">
        <f t="shared" si="291"/>
        <v>176397.60000000001</v>
      </c>
      <c r="AE134" s="79" t="e">
        <f t="shared" si="291"/>
        <v>#REF!</v>
      </c>
      <c r="AF134" s="91">
        <f t="shared" si="291"/>
        <v>0</v>
      </c>
      <c r="AG134" s="91">
        <f t="shared" si="291"/>
        <v>81</v>
      </c>
      <c r="AH134" s="91">
        <f t="shared" si="291"/>
        <v>1124.7427385892099</v>
      </c>
      <c r="AI134" s="79">
        <f t="shared" si="291"/>
        <v>2000</v>
      </c>
      <c r="AJ134" s="93"/>
      <c r="AK134" s="79" t="e">
        <f t="shared" ref="AK134:AO134" si="292">SUM(AK135:AK146)</f>
        <v>#REF!</v>
      </c>
      <c r="AL134" s="94">
        <f t="shared" si="292"/>
        <v>1098.49</v>
      </c>
      <c r="AM134" s="79">
        <f t="shared" si="292"/>
        <v>729.73436707119595</v>
      </c>
      <c r="AN134" s="91" t="e">
        <f t="shared" si="292"/>
        <v>#REF!</v>
      </c>
      <c r="AO134" s="91" t="e">
        <f t="shared" si="292"/>
        <v>#REF!</v>
      </c>
      <c r="AP134" s="42" t="e">
        <f t="shared" si="134"/>
        <v>#REF!</v>
      </c>
      <c r="AQ134" s="93" t="e">
        <f>SUM(AQ135:AQ146)</f>
        <v>#REF!</v>
      </c>
      <c r="AR134" s="43" t="e">
        <f t="shared" si="135"/>
        <v>#REF!</v>
      </c>
      <c r="AS134" s="5"/>
      <c r="AT134" s="5"/>
      <c r="AU134" s="5"/>
      <c r="AV134" s="5"/>
      <c r="AW134" s="5"/>
      <c r="AX134" s="5"/>
      <c r="AY134" s="5"/>
      <c r="AZ134" s="5" t="s">
        <v>197</v>
      </c>
      <c r="BA134" s="5">
        <v>7555</v>
      </c>
      <c r="BB134" s="5"/>
      <c r="BC134" s="5"/>
      <c r="BD134" s="5"/>
      <c r="BE134" s="5"/>
      <c r="BF134" s="5"/>
      <c r="BG134" s="5"/>
      <c r="BH134" s="5"/>
      <c r="BI134" s="5"/>
      <c r="BJ134" s="5"/>
      <c r="BK134" s="5"/>
      <c r="BL134" s="5"/>
      <c r="BM134" s="5"/>
      <c r="BN134" s="5"/>
      <c r="BO134" s="5"/>
      <c r="BP134" s="5"/>
      <c r="BQ134" s="5"/>
      <c r="BR134" s="5"/>
      <c r="BS134" s="5"/>
      <c r="BT134" s="5"/>
      <c r="BU134" s="5"/>
      <c r="BV134" s="5"/>
      <c r="BW134" s="5"/>
    </row>
    <row r="135" ht="17" customHeight="1">
      <c r="A135" s="46">
        <v>88</v>
      </c>
      <c r="B135" s="82" t="s">
        <v>178</v>
      </c>
      <c r="C135" s="46" t="s">
        <v>78</v>
      </c>
      <c r="D135" s="46"/>
      <c r="E135" s="46"/>
      <c r="F135" s="46"/>
      <c r="G135" s="73">
        <f t="shared" ref="G135:G146" si="293">VLOOKUP(B:B,$AZ:$BA,2,0)</f>
        <v>898</v>
      </c>
      <c r="H135" s="73">
        <f t="shared" ref="H135:H146" si="294">G135*210000/381298.76</f>
        <v>494.57281214342299</v>
      </c>
      <c r="I135" s="73">
        <v>14471</v>
      </c>
      <c r="J135" s="59">
        <f t="shared" si="281"/>
        <v>2894.1999999999998</v>
      </c>
      <c r="K135" s="59">
        <f t="shared" si="282"/>
        <v>2894.1999999999998</v>
      </c>
      <c r="L135" s="59">
        <f t="shared" si="283"/>
        <v>0</v>
      </c>
      <c r="M135" s="59">
        <f t="shared" si="284"/>
        <v>0</v>
      </c>
      <c r="N135" s="59">
        <f t="shared" si="285"/>
        <v>0</v>
      </c>
      <c r="O135" s="59">
        <f t="shared" si="286"/>
        <v>0</v>
      </c>
      <c r="P135" s="59">
        <v>649</v>
      </c>
      <c r="Q135" s="59">
        <v>153</v>
      </c>
      <c r="R135" s="59">
        <f t="shared" ref="R135:R146" si="295">S135+T135+U135+V135</f>
        <v>61.200000000000003</v>
      </c>
      <c r="S135" s="59">
        <f>Q135*0.4</f>
        <v>61.200000000000003</v>
      </c>
      <c r="T135" s="59"/>
      <c r="U135" s="59"/>
      <c r="V135" s="59"/>
      <c r="W135" s="59">
        <f t="shared" ref="W135:W146" si="296">(J135/$J$9*0.2+P135/$P$9*0.05+R135/$R$9*0.05)*299423</f>
        <v>48.911474452560697</v>
      </c>
      <c r="X135" s="61">
        <v>18968</v>
      </c>
      <c r="Y135" s="62">
        <f t="shared" ref="Y135:Y146" si="297">IF(X135&lt;12842,(12842-X135)/(12842-$X$175),0)</f>
        <v>0</v>
      </c>
      <c r="Z135" s="59">
        <f t="shared" ref="Z135:Z146" si="298">(Y135/$Y$9*0.15)*299423</f>
        <v>0</v>
      </c>
      <c r="AA135" s="59"/>
      <c r="AB135" s="59"/>
      <c r="AC135" s="59"/>
      <c r="AD135" s="61"/>
      <c r="AE135" s="59">
        <f t="shared" ref="AE135:AE138" si="299">AD135/$AD$9*71500</f>
        <v>0</v>
      </c>
      <c r="AF135" s="59"/>
      <c r="AG135" s="59">
        <v>29</v>
      </c>
      <c r="AH135" s="59">
        <f>AG135/$AG$13*9347</f>
        <v>1124.7427385892099</v>
      </c>
      <c r="AI135" s="59"/>
      <c r="AJ135" s="62" t="e">
        <f>VLOOKUP(B:B,表6资金使用成效（12月30日）!B:L,11,0)</f>
        <v>#REF!</v>
      </c>
      <c r="AK135" s="59" t="e">
        <f t="shared" ref="AK135:AK146" si="300">AJ135/$AJ$9*0.025*299423</f>
        <v>#REF!</v>
      </c>
      <c r="AL135" s="61">
        <v>92.209999999999994</v>
      </c>
      <c r="AM135" s="59">
        <f t="shared" ref="AM135:AM146" si="301">(AL135/$AL$9)*0.025*299423</f>
        <v>61.2557292170479</v>
      </c>
      <c r="AN135" s="53" t="e">
        <f t="shared" ref="AN135:AN146" si="302">ROUND(AM135+AK135+AE135+AC135+Z135+W135+AI135+AF135,0)</f>
        <v>#REF!</v>
      </c>
      <c r="AO135" s="53" t="e">
        <f t="shared" si="287"/>
        <v>#REF!</v>
      </c>
      <c r="AP135" s="42" t="e">
        <f t="shared" si="134"/>
        <v>#REF!</v>
      </c>
      <c r="AQ135" s="59" t="e">
        <f t="shared" si="288"/>
        <v>#REF!</v>
      </c>
      <c r="AR135" s="43" t="e">
        <f t="shared" si="135"/>
        <v>#REF!</v>
      </c>
      <c r="AZ135" s="5" t="s">
        <v>198</v>
      </c>
      <c r="BA135" s="5">
        <v>0</v>
      </c>
    </row>
    <row r="136" ht="17" customHeight="1">
      <c r="A136" s="46">
        <v>89</v>
      </c>
      <c r="B136" s="82" t="s">
        <v>179</v>
      </c>
      <c r="C136" s="46" t="s">
        <v>90</v>
      </c>
      <c r="D136" s="46">
        <v>2018</v>
      </c>
      <c r="E136" s="46"/>
      <c r="F136" s="46"/>
      <c r="G136" s="73">
        <f t="shared" si="293"/>
        <v>1596</v>
      </c>
      <c r="H136" s="73">
        <f t="shared" si="294"/>
        <v>878.99577748430102</v>
      </c>
      <c r="I136" s="73">
        <v>15569</v>
      </c>
      <c r="J136" s="59">
        <f t="shared" si="281"/>
        <v>9341.3999999999996</v>
      </c>
      <c r="K136" s="59">
        <f t="shared" si="282"/>
        <v>0</v>
      </c>
      <c r="L136" s="59">
        <f t="shared" si="283"/>
        <v>0</v>
      </c>
      <c r="M136" s="59">
        <f t="shared" si="284"/>
        <v>9341.3999999999996</v>
      </c>
      <c r="N136" s="59">
        <f t="shared" si="285"/>
        <v>0</v>
      </c>
      <c r="O136" s="59">
        <f t="shared" si="286"/>
        <v>0</v>
      </c>
      <c r="P136" s="59">
        <v>1939</v>
      </c>
      <c r="Q136" s="59">
        <v>1058</v>
      </c>
      <c r="R136" s="59">
        <f t="shared" si="295"/>
        <v>634.79999999999995</v>
      </c>
      <c r="S136" s="59"/>
      <c r="T136" s="59">
        <f t="shared" ref="T136:T145" si="303">Q136*0.6</f>
        <v>634.79999999999995</v>
      </c>
      <c r="U136" s="59"/>
      <c r="V136" s="59"/>
      <c r="W136" s="59">
        <f t="shared" si="296"/>
        <v>162.102579672085</v>
      </c>
      <c r="X136" s="61">
        <v>12855</v>
      </c>
      <c r="Y136" s="62">
        <f t="shared" si="297"/>
        <v>0</v>
      </c>
      <c r="Z136" s="59">
        <f t="shared" si="298"/>
        <v>0</v>
      </c>
      <c r="AA136" s="59"/>
      <c r="AB136" s="59"/>
      <c r="AC136" s="59"/>
      <c r="AD136" s="61"/>
      <c r="AE136" s="59">
        <f t="shared" si="299"/>
        <v>0</v>
      </c>
      <c r="AF136" s="59"/>
      <c r="AG136" s="59">
        <v>6</v>
      </c>
      <c r="AH136" s="59"/>
      <c r="AI136" s="59">
        <v>2000</v>
      </c>
      <c r="AJ136" s="62" t="e">
        <f>VLOOKUP(B:B,表6资金使用成效（12月30日）!B:L,11,0)</f>
        <v>#REF!</v>
      </c>
      <c r="AK136" s="59" t="e">
        <f t="shared" si="300"/>
        <v>#REF!</v>
      </c>
      <c r="AL136" s="61">
        <v>92.969999999999999</v>
      </c>
      <c r="AM136" s="59">
        <f t="shared" si="301"/>
        <v>61.760602378363998</v>
      </c>
      <c r="AN136" s="53" t="e">
        <f t="shared" si="302"/>
        <v>#REF!</v>
      </c>
      <c r="AO136" s="53" t="e">
        <f t="shared" si="287"/>
        <v>#REF!</v>
      </c>
      <c r="AP136" s="42" t="e">
        <f t="shared" si="134"/>
        <v>#REF!</v>
      </c>
      <c r="AQ136" s="59" t="e">
        <f t="shared" si="288"/>
        <v>#REF!</v>
      </c>
      <c r="AR136" s="43" t="e">
        <f t="shared" si="135"/>
        <v>#REF!</v>
      </c>
      <c r="AZ136" s="5" t="s">
        <v>199</v>
      </c>
      <c r="BA136" s="5">
        <v>2903</v>
      </c>
    </row>
    <row r="137" ht="17" customHeight="1">
      <c r="A137" s="46">
        <v>90</v>
      </c>
      <c r="B137" s="82" t="s">
        <v>180</v>
      </c>
      <c r="C137" s="46" t="s">
        <v>90</v>
      </c>
      <c r="D137" s="46">
        <v>2017</v>
      </c>
      <c r="E137" s="46"/>
      <c r="F137" s="46"/>
      <c r="G137" s="73">
        <f t="shared" si="293"/>
        <v>331</v>
      </c>
      <c r="H137" s="73">
        <f t="shared" si="294"/>
        <v>182.29799645821001</v>
      </c>
      <c r="I137" s="73">
        <v>30588</v>
      </c>
      <c r="J137" s="59">
        <f t="shared" si="281"/>
        <v>12235.200000000001</v>
      </c>
      <c r="K137" s="59">
        <f t="shared" si="282"/>
        <v>0</v>
      </c>
      <c r="L137" s="59">
        <f t="shared" si="283"/>
        <v>12235.200000000001</v>
      </c>
      <c r="M137" s="59">
        <f t="shared" si="284"/>
        <v>0</v>
      </c>
      <c r="N137" s="59">
        <f t="shared" si="285"/>
        <v>0</v>
      </c>
      <c r="O137" s="59">
        <f t="shared" si="286"/>
        <v>0</v>
      </c>
      <c r="P137" s="59">
        <v>1244</v>
      </c>
      <c r="Q137" s="59">
        <v>820</v>
      </c>
      <c r="R137" s="59">
        <f t="shared" si="295"/>
        <v>492</v>
      </c>
      <c r="S137" s="59"/>
      <c r="T137" s="59">
        <f t="shared" si="303"/>
        <v>492</v>
      </c>
      <c r="U137" s="59"/>
      <c r="V137" s="59"/>
      <c r="W137" s="59">
        <f t="shared" si="296"/>
        <v>183.571002964537</v>
      </c>
      <c r="X137" s="61">
        <v>14121</v>
      </c>
      <c r="Y137" s="62">
        <f t="shared" si="297"/>
        <v>0</v>
      </c>
      <c r="Z137" s="59">
        <f t="shared" si="298"/>
        <v>0</v>
      </c>
      <c r="AA137" s="59"/>
      <c r="AB137" s="59"/>
      <c r="AC137" s="59"/>
      <c r="AD137" s="61"/>
      <c r="AE137" s="59">
        <f t="shared" si="299"/>
        <v>0</v>
      </c>
      <c r="AF137" s="59"/>
      <c r="AG137" s="59">
        <v>5</v>
      </c>
      <c r="AH137" s="59"/>
      <c r="AI137" s="59"/>
      <c r="AJ137" s="62" t="e">
        <f>VLOOKUP(B:B,表6资金使用成效（12月30日）!B:L,11,0)</f>
        <v>#REF!</v>
      </c>
      <c r="AK137" s="59" t="e">
        <f t="shared" si="300"/>
        <v>#REF!</v>
      </c>
      <c r="AL137" s="61">
        <v>93.159999999999997</v>
      </c>
      <c r="AM137" s="59">
        <f t="shared" si="301"/>
        <v>61.886820668692998</v>
      </c>
      <c r="AN137" s="53" t="e">
        <f t="shared" si="302"/>
        <v>#REF!</v>
      </c>
      <c r="AO137" s="53" t="e">
        <f t="shared" si="287"/>
        <v>#REF!</v>
      </c>
      <c r="AP137" s="42" t="e">
        <f t="shared" ref="AP137:AP194" si="304">AO137/G137</f>
        <v>#REF!</v>
      </c>
      <c r="AQ137" s="59" t="e">
        <f t="shared" si="288"/>
        <v>#REF!</v>
      </c>
      <c r="AR137" s="43" t="e">
        <f t="shared" ref="AR137:AR194" si="305">AQ137/H137</f>
        <v>#REF!</v>
      </c>
      <c r="AZ137" s="5" t="s">
        <v>200</v>
      </c>
      <c r="BA137" s="5">
        <v>46</v>
      </c>
    </row>
    <row r="138" ht="17" customHeight="1">
      <c r="A138" s="46">
        <v>91</v>
      </c>
      <c r="B138" s="82" t="s">
        <v>181</v>
      </c>
      <c r="C138" s="46" t="s">
        <v>90</v>
      </c>
      <c r="D138" s="46">
        <v>2017</v>
      </c>
      <c r="E138" s="46"/>
      <c r="F138" s="46"/>
      <c r="G138" s="73">
        <f t="shared" si="293"/>
        <v>668</v>
      </c>
      <c r="H138" s="73">
        <f t="shared" si="294"/>
        <v>367.900488320497</v>
      </c>
      <c r="I138" s="73">
        <v>34586</v>
      </c>
      <c r="J138" s="59">
        <f t="shared" si="281"/>
        <v>13834.4</v>
      </c>
      <c r="K138" s="59">
        <f t="shared" si="282"/>
        <v>0</v>
      </c>
      <c r="L138" s="59">
        <f t="shared" si="283"/>
        <v>13834.4</v>
      </c>
      <c r="M138" s="59">
        <f t="shared" si="284"/>
        <v>0</v>
      </c>
      <c r="N138" s="59">
        <f t="shared" si="285"/>
        <v>0</v>
      </c>
      <c r="O138" s="59">
        <f t="shared" si="286"/>
        <v>0</v>
      </c>
      <c r="P138" s="59">
        <v>3169</v>
      </c>
      <c r="Q138" s="59">
        <v>1427</v>
      </c>
      <c r="R138" s="59">
        <f t="shared" si="295"/>
        <v>856.20000000000005</v>
      </c>
      <c r="S138" s="59"/>
      <c r="T138" s="59">
        <f t="shared" si="303"/>
        <v>856.20000000000005</v>
      </c>
      <c r="U138" s="59"/>
      <c r="V138" s="59"/>
      <c r="W138" s="59">
        <f t="shared" si="296"/>
        <v>244.065382263949</v>
      </c>
      <c r="X138" s="61">
        <v>18181</v>
      </c>
      <c r="Y138" s="62">
        <f t="shared" si="297"/>
        <v>0</v>
      </c>
      <c r="Z138" s="59">
        <f t="shared" si="298"/>
        <v>0</v>
      </c>
      <c r="AA138" s="59"/>
      <c r="AB138" s="59"/>
      <c r="AC138" s="59"/>
      <c r="AD138" s="61"/>
      <c r="AE138" s="59">
        <f t="shared" si="299"/>
        <v>0</v>
      </c>
      <c r="AF138" s="59"/>
      <c r="AG138" s="59">
        <v>4</v>
      </c>
      <c r="AH138" s="59"/>
      <c r="AI138" s="59"/>
      <c r="AJ138" s="62" t="e">
        <f>VLOOKUP(B:B,表6资金使用成效（12月30日）!B:L,11,0)</f>
        <v>#REF!</v>
      </c>
      <c r="AK138" s="59" t="e">
        <f t="shared" si="300"/>
        <v>#REF!</v>
      </c>
      <c r="AL138" s="61">
        <v>80.469999999999999</v>
      </c>
      <c r="AM138" s="59">
        <f t="shared" si="301"/>
        <v>53.456767488296798</v>
      </c>
      <c r="AN138" s="53" t="e">
        <f t="shared" si="302"/>
        <v>#REF!</v>
      </c>
      <c r="AO138" s="53" t="e">
        <f t="shared" si="287"/>
        <v>#REF!</v>
      </c>
      <c r="AP138" s="42" t="e">
        <f t="shared" si="304"/>
        <v>#REF!</v>
      </c>
      <c r="AQ138" s="59" t="e">
        <f t="shared" si="288"/>
        <v>#REF!</v>
      </c>
      <c r="AR138" s="43" t="e">
        <f t="shared" si="305"/>
        <v>#REF!</v>
      </c>
      <c r="AZ138" s="5" t="s">
        <v>201</v>
      </c>
      <c r="BA138" s="5">
        <v>2176</v>
      </c>
    </row>
    <row r="139" ht="17" customHeight="1">
      <c r="A139" s="46">
        <v>92</v>
      </c>
      <c r="B139" s="82" t="s">
        <v>182</v>
      </c>
      <c r="C139" s="46" t="s">
        <v>90</v>
      </c>
      <c r="D139" s="46">
        <v>2019</v>
      </c>
      <c r="E139" s="46" t="s">
        <v>91</v>
      </c>
      <c r="F139" s="46"/>
      <c r="G139" s="73">
        <f t="shared" si="293"/>
        <v>2520</v>
      </c>
      <c r="H139" s="73">
        <f t="shared" si="294"/>
        <v>1387.8880697120501</v>
      </c>
      <c r="I139" s="73">
        <v>63053</v>
      </c>
      <c r="J139" s="59">
        <f t="shared" si="281"/>
        <v>50442.400000000001</v>
      </c>
      <c r="K139" s="59">
        <f t="shared" si="282"/>
        <v>0</v>
      </c>
      <c r="L139" s="59">
        <f t="shared" si="283"/>
        <v>0</v>
      </c>
      <c r="M139" s="59">
        <f t="shared" si="284"/>
        <v>0</v>
      </c>
      <c r="N139" s="59">
        <f t="shared" si="285"/>
        <v>50442.400000000001</v>
      </c>
      <c r="O139" s="59">
        <f t="shared" si="286"/>
        <v>0</v>
      </c>
      <c r="P139" s="59">
        <v>7178</v>
      </c>
      <c r="Q139" s="59">
        <v>1481</v>
      </c>
      <c r="R139" s="59">
        <f t="shared" si="295"/>
        <v>888.60000000000002</v>
      </c>
      <c r="S139" s="59"/>
      <c r="T139" s="59">
        <f t="shared" si="303"/>
        <v>888.60000000000002</v>
      </c>
      <c r="U139" s="59"/>
      <c r="V139" s="59"/>
      <c r="W139" s="59">
        <f t="shared" si="296"/>
        <v>775.31352816978404</v>
      </c>
      <c r="X139" s="61">
        <v>11981</v>
      </c>
      <c r="Y139" s="62">
        <f t="shared" si="297"/>
        <v>0.16291390728476801</v>
      </c>
      <c r="Z139" s="59">
        <f t="shared" si="298"/>
        <v>405.22351933354298</v>
      </c>
      <c r="AA139" s="59"/>
      <c r="AB139" s="59"/>
      <c r="AC139" s="59"/>
      <c r="AD139" s="61">
        <f t="shared" ref="AD139:AD145" si="306">J139</f>
        <v>50442.400000000001</v>
      </c>
      <c r="AE139" s="59" t="e">
        <f t="shared" ref="AE139:AE145" si="307">H139-W139-Z139-AC139-AK139-AM139</f>
        <v>#REF!</v>
      </c>
      <c r="AF139" s="59"/>
      <c r="AG139" s="59">
        <v>5</v>
      </c>
      <c r="AH139" s="59"/>
      <c r="AI139" s="59"/>
      <c r="AJ139" s="62" t="e">
        <f>VLOOKUP(B:B,表6资金使用成效（12月30日）!B:L,11,0)</f>
        <v>#REF!</v>
      </c>
      <c r="AK139" s="59" t="e">
        <f t="shared" si="300"/>
        <v>#REF!</v>
      </c>
      <c r="AL139" s="61">
        <v>91.349999999999994</v>
      </c>
      <c r="AM139" s="59">
        <f t="shared" si="301"/>
        <v>60.684425376611301</v>
      </c>
      <c r="AN139" s="53" t="e">
        <f t="shared" si="302"/>
        <v>#REF!</v>
      </c>
      <c r="AO139" s="53" t="e">
        <f t="shared" si="287"/>
        <v>#REF!</v>
      </c>
      <c r="AP139" s="42" t="e">
        <f t="shared" si="304"/>
        <v>#REF!</v>
      </c>
      <c r="AQ139" s="59" t="e">
        <f t="shared" si="288"/>
        <v>#REF!</v>
      </c>
      <c r="AR139" s="43" t="e">
        <f t="shared" si="305"/>
        <v>#REF!</v>
      </c>
      <c r="AZ139" s="5" t="s">
        <v>202</v>
      </c>
      <c r="BA139" s="5">
        <v>1169</v>
      </c>
    </row>
    <row r="140" ht="17" customHeight="1">
      <c r="A140" s="46">
        <v>93</v>
      </c>
      <c r="B140" s="82" t="s">
        <v>183</v>
      </c>
      <c r="C140" s="46" t="s">
        <v>90</v>
      </c>
      <c r="D140" s="46">
        <v>2018</v>
      </c>
      <c r="E140" s="46" t="s">
        <v>91</v>
      </c>
      <c r="F140" s="46"/>
      <c r="G140" s="73">
        <f t="shared" si="293"/>
        <v>2955</v>
      </c>
      <c r="H140" s="73">
        <f t="shared" si="294"/>
        <v>1627.4639865075901</v>
      </c>
      <c r="I140" s="73">
        <v>53447</v>
      </c>
      <c r="J140" s="59">
        <f t="shared" si="281"/>
        <v>32068.200000000001</v>
      </c>
      <c r="K140" s="59">
        <f t="shared" si="282"/>
        <v>0</v>
      </c>
      <c r="L140" s="59">
        <f t="shared" si="283"/>
        <v>0</v>
      </c>
      <c r="M140" s="59">
        <f t="shared" si="284"/>
        <v>32068.200000000001</v>
      </c>
      <c r="N140" s="59">
        <f t="shared" si="285"/>
        <v>0</v>
      </c>
      <c r="O140" s="59">
        <f t="shared" si="286"/>
        <v>0</v>
      </c>
      <c r="P140" s="59">
        <v>6279</v>
      </c>
      <c r="Q140" s="59">
        <v>1813</v>
      </c>
      <c r="R140" s="59">
        <f t="shared" si="295"/>
        <v>1087.8</v>
      </c>
      <c r="S140" s="59"/>
      <c r="T140" s="59">
        <f t="shared" si="303"/>
        <v>1087.8</v>
      </c>
      <c r="U140" s="59"/>
      <c r="V140" s="59"/>
      <c r="W140" s="59">
        <f t="shared" si="296"/>
        <v>532.14458893027302</v>
      </c>
      <c r="X140" s="61">
        <v>10969</v>
      </c>
      <c r="Y140" s="62">
        <f t="shared" si="297"/>
        <v>0.35439924314096499</v>
      </c>
      <c r="Z140" s="59">
        <f t="shared" si="298"/>
        <v>881.51411348632496</v>
      </c>
      <c r="AA140" s="59"/>
      <c r="AB140" s="59"/>
      <c r="AC140" s="59"/>
      <c r="AD140" s="61">
        <f t="shared" si="306"/>
        <v>32068.200000000001</v>
      </c>
      <c r="AE140" s="59" t="e">
        <f t="shared" si="307"/>
        <v>#REF!</v>
      </c>
      <c r="AF140" s="59"/>
      <c r="AG140" s="59">
        <v>7</v>
      </c>
      <c r="AH140" s="59"/>
      <c r="AI140" s="59"/>
      <c r="AJ140" s="62" t="e">
        <f>VLOOKUP(B:B,表6资金使用成效（12月30日）!B:L,11,0)</f>
        <v>#REF!</v>
      </c>
      <c r="AK140" s="59" t="e">
        <f t="shared" si="300"/>
        <v>#REF!</v>
      </c>
      <c r="AL140" s="61">
        <v>92.599999999999994</v>
      </c>
      <c r="AM140" s="59">
        <f t="shared" si="301"/>
        <v>61.514808865618001</v>
      </c>
      <c r="AN140" s="53" t="e">
        <f t="shared" si="302"/>
        <v>#REF!</v>
      </c>
      <c r="AO140" s="53" t="e">
        <f t="shared" si="287"/>
        <v>#REF!</v>
      </c>
      <c r="AP140" s="42" t="e">
        <f t="shared" si="304"/>
        <v>#REF!</v>
      </c>
      <c r="AQ140" s="59" t="e">
        <f t="shared" si="288"/>
        <v>#REF!</v>
      </c>
      <c r="AR140" s="43" t="e">
        <f t="shared" si="305"/>
        <v>#REF!</v>
      </c>
      <c r="AZ140" s="5" t="s">
        <v>203</v>
      </c>
      <c r="BA140" s="5">
        <v>1261</v>
      </c>
    </row>
    <row r="141" ht="17" customHeight="1">
      <c r="A141" s="46">
        <v>94</v>
      </c>
      <c r="B141" s="82" t="s">
        <v>184</v>
      </c>
      <c r="C141" s="46" t="s">
        <v>90</v>
      </c>
      <c r="D141" s="46">
        <v>2017</v>
      </c>
      <c r="E141" s="46" t="s">
        <v>91</v>
      </c>
      <c r="F141" s="46"/>
      <c r="G141" s="73">
        <f t="shared" si="293"/>
        <v>699</v>
      </c>
      <c r="H141" s="73">
        <f t="shared" si="294"/>
        <v>384.97371457489101</v>
      </c>
      <c r="I141" s="73">
        <v>28858</v>
      </c>
      <c r="J141" s="59">
        <f t="shared" si="281"/>
        <v>11543.200000000001</v>
      </c>
      <c r="K141" s="59">
        <f t="shared" si="282"/>
        <v>0</v>
      </c>
      <c r="L141" s="59">
        <f t="shared" si="283"/>
        <v>11543.200000000001</v>
      </c>
      <c r="M141" s="59">
        <f t="shared" si="284"/>
        <v>0</v>
      </c>
      <c r="N141" s="59">
        <f t="shared" si="285"/>
        <v>0</v>
      </c>
      <c r="O141" s="59">
        <f t="shared" si="286"/>
        <v>0</v>
      </c>
      <c r="P141" s="59">
        <v>2150</v>
      </c>
      <c r="Q141" s="59">
        <v>1314</v>
      </c>
      <c r="R141" s="59">
        <f t="shared" si="295"/>
        <v>788.39999999999998</v>
      </c>
      <c r="S141" s="59"/>
      <c r="T141" s="59">
        <f t="shared" si="303"/>
        <v>788.39999999999998</v>
      </c>
      <c r="U141" s="59"/>
      <c r="V141" s="59"/>
      <c r="W141" s="59">
        <f t="shared" si="296"/>
        <v>195.95261156343801</v>
      </c>
      <c r="X141" s="61">
        <v>12092</v>
      </c>
      <c r="Y141" s="62">
        <f t="shared" si="297"/>
        <v>0.14191106906338699</v>
      </c>
      <c r="Z141" s="59">
        <f t="shared" si="298"/>
        <v>352.98215969820802</v>
      </c>
      <c r="AA141" s="59"/>
      <c r="AB141" s="59"/>
      <c r="AC141" s="59"/>
      <c r="AD141" s="61">
        <f t="shared" si="306"/>
        <v>11543.200000000001</v>
      </c>
      <c r="AE141" s="59"/>
      <c r="AF141" s="59"/>
      <c r="AG141" s="59">
        <v>5</v>
      </c>
      <c r="AH141" s="59"/>
      <c r="AI141" s="59"/>
      <c r="AJ141" s="62" t="e">
        <f>VLOOKUP(B:B,表6资金使用成效（12月30日）!B:L,11,0)</f>
        <v>#REF!</v>
      </c>
      <c r="AK141" s="59" t="e">
        <f t="shared" si="300"/>
        <v>#REF!</v>
      </c>
      <c r="AL141" s="61">
        <v>90.879999999999995</v>
      </c>
      <c r="AM141" s="59">
        <f t="shared" si="301"/>
        <v>60.372201184744704</v>
      </c>
      <c r="AN141" s="53" t="e">
        <f t="shared" si="302"/>
        <v>#REF!</v>
      </c>
      <c r="AO141" s="53" t="e">
        <f t="shared" si="287"/>
        <v>#REF!</v>
      </c>
      <c r="AP141" s="42" t="e">
        <f t="shared" si="304"/>
        <v>#REF!</v>
      </c>
      <c r="AQ141" s="59" t="e">
        <f t="shared" si="288"/>
        <v>#REF!</v>
      </c>
      <c r="AR141" s="43" t="e">
        <f t="shared" si="305"/>
        <v>#REF!</v>
      </c>
      <c r="AZ141" s="5" t="s">
        <v>204</v>
      </c>
      <c r="BA141" s="5">
        <v>7062</v>
      </c>
    </row>
    <row r="142" ht="17" customHeight="1">
      <c r="A142" s="46">
        <v>95</v>
      </c>
      <c r="B142" s="82" t="s">
        <v>185</v>
      </c>
      <c r="C142" s="46" t="s">
        <v>90</v>
      </c>
      <c r="D142" s="46">
        <v>2018</v>
      </c>
      <c r="E142" s="46" t="s">
        <v>91</v>
      </c>
      <c r="F142" s="46"/>
      <c r="G142" s="73">
        <f t="shared" si="293"/>
        <v>1482</v>
      </c>
      <c r="H142" s="73">
        <f t="shared" si="294"/>
        <v>816.21036480685098</v>
      </c>
      <c r="I142" s="73">
        <v>20309</v>
      </c>
      <c r="J142" s="59">
        <f t="shared" si="281"/>
        <v>12185.4</v>
      </c>
      <c r="K142" s="59">
        <f t="shared" si="282"/>
        <v>0</v>
      </c>
      <c r="L142" s="59">
        <f t="shared" si="283"/>
        <v>0</v>
      </c>
      <c r="M142" s="59">
        <f t="shared" si="284"/>
        <v>12185.4</v>
      </c>
      <c r="N142" s="59">
        <f t="shared" si="285"/>
        <v>0</v>
      </c>
      <c r="O142" s="59">
        <f t="shared" si="286"/>
        <v>0</v>
      </c>
      <c r="P142" s="59">
        <v>2277</v>
      </c>
      <c r="Q142" s="59">
        <v>1192</v>
      </c>
      <c r="R142" s="59">
        <f t="shared" si="295"/>
        <v>715.20000000000005</v>
      </c>
      <c r="S142" s="59"/>
      <c r="T142" s="59">
        <f t="shared" si="303"/>
        <v>715.20000000000005</v>
      </c>
      <c r="U142" s="59"/>
      <c r="V142" s="59"/>
      <c r="W142" s="59">
        <f t="shared" si="296"/>
        <v>205.10410583962201</v>
      </c>
      <c r="X142" s="61">
        <v>12203</v>
      </c>
      <c r="Y142" s="62">
        <f t="shared" si="297"/>
        <v>0.120908230842006</v>
      </c>
      <c r="Z142" s="59">
        <f t="shared" si="298"/>
        <v>300.74080006287301</v>
      </c>
      <c r="AA142" s="59"/>
      <c r="AB142" s="59"/>
      <c r="AC142" s="59"/>
      <c r="AD142" s="61">
        <f t="shared" si="306"/>
        <v>12185.4</v>
      </c>
      <c r="AE142" s="59" t="e">
        <f t="shared" si="307"/>
        <v>#REF!</v>
      </c>
      <c r="AF142" s="59"/>
      <c r="AG142" s="59">
        <v>6</v>
      </c>
      <c r="AH142" s="59"/>
      <c r="AI142" s="59"/>
      <c r="AJ142" s="62" t="e">
        <f>VLOOKUP(B:B,表6资金使用成效（12月30日）!B:L,11,0)</f>
        <v>#REF!</v>
      </c>
      <c r="AK142" s="59" t="e">
        <f t="shared" si="300"/>
        <v>#REF!</v>
      </c>
      <c r="AL142" s="61">
        <v>94.569999999999993</v>
      </c>
      <c r="AM142" s="59">
        <f t="shared" si="301"/>
        <v>62.8234932442926</v>
      </c>
      <c r="AN142" s="53" t="e">
        <f t="shared" si="302"/>
        <v>#REF!</v>
      </c>
      <c r="AO142" s="53" t="e">
        <f t="shared" si="287"/>
        <v>#REF!</v>
      </c>
      <c r="AP142" s="42" t="e">
        <f t="shared" si="304"/>
        <v>#REF!</v>
      </c>
      <c r="AQ142" s="59" t="e">
        <f t="shared" si="288"/>
        <v>#REF!</v>
      </c>
      <c r="AR142" s="43" t="e">
        <f t="shared" si="305"/>
        <v>#REF!</v>
      </c>
      <c r="AZ142" s="5" t="s">
        <v>205</v>
      </c>
      <c r="BA142" s="5">
        <v>0</v>
      </c>
    </row>
    <row r="143" ht="17" customHeight="1">
      <c r="A143" s="46">
        <v>96</v>
      </c>
      <c r="B143" s="82" t="s">
        <v>186</v>
      </c>
      <c r="C143" s="46" t="s">
        <v>90</v>
      </c>
      <c r="D143" s="46">
        <v>2019</v>
      </c>
      <c r="E143" s="46" t="s">
        <v>91</v>
      </c>
      <c r="F143" s="46"/>
      <c r="G143" s="73">
        <f t="shared" si="293"/>
        <v>2272</v>
      </c>
      <c r="H143" s="73">
        <f t="shared" si="294"/>
        <v>1251.3022596768999</v>
      </c>
      <c r="I143" s="73">
        <v>44723</v>
      </c>
      <c r="J143" s="59">
        <f t="shared" si="281"/>
        <v>35778.400000000001</v>
      </c>
      <c r="K143" s="59">
        <f t="shared" si="282"/>
        <v>0</v>
      </c>
      <c r="L143" s="59">
        <f t="shared" si="283"/>
        <v>0</v>
      </c>
      <c r="M143" s="59">
        <f t="shared" si="284"/>
        <v>0</v>
      </c>
      <c r="N143" s="59">
        <f t="shared" si="285"/>
        <v>35778.400000000001</v>
      </c>
      <c r="O143" s="59">
        <f t="shared" si="286"/>
        <v>0</v>
      </c>
      <c r="P143" s="59">
        <v>5597</v>
      </c>
      <c r="Q143" s="59">
        <v>4637</v>
      </c>
      <c r="R143" s="59">
        <f t="shared" si="295"/>
        <v>3709.5999999999999</v>
      </c>
      <c r="S143" s="59"/>
      <c r="T143" s="59"/>
      <c r="U143" s="59">
        <f>Q143*0.8</f>
        <v>3709.5999999999999</v>
      </c>
      <c r="V143" s="59"/>
      <c r="W143" s="59">
        <f t="shared" si="296"/>
        <v>608.54492925058298</v>
      </c>
      <c r="X143" s="61">
        <v>11751</v>
      </c>
      <c r="Y143" s="62">
        <f t="shared" si="297"/>
        <v>0.20643330179753999</v>
      </c>
      <c r="Z143" s="59">
        <f t="shared" si="298"/>
        <v>513.47138164099294</v>
      </c>
      <c r="AA143" s="59"/>
      <c r="AB143" s="59"/>
      <c r="AC143" s="59"/>
      <c r="AD143" s="61">
        <f t="shared" si="306"/>
        <v>35778.400000000001</v>
      </c>
      <c r="AE143" s="59" t="e">
        <f t="shared" si="307"/>
        <v>#REF!</v>
      </c>
      <c r="AF143" s="59"/>
      <c r="AG143" s="59">
        <v>5</v>
      </c>
      <c r="AH143" s="59"/>
      <c r="AI143" s="59"/>
      <c r="AJ143" s="62" t="e">
        <f>VLOOKUP(B:B,表6资金使用成效（12月30日）!B:L,11,0)</f>
        <v>#REF!</v>
      </c>
      <c r="AK143" s="59" t="e">
        <f t="shared" si="300"/>
        <v>#REF!</v>
      </c>
      <c r="AL143" s="61">
        <v>89.549999999999997</v>
      </c>
      <c r="AM143" s="59">
        <f t="shared" si="301"/>
        <v>59.488673152441599</v>
      </c>
      <c r="AN143" s="53" t="e">
        <f t="shared" si="302"/>
        <v>#REF!</v>
      </c>
      <c r="AO143" s="53" t="e">
        <f t="shared" si="287"/>
        <v>#REF!</v>
      </c>
      <c r="AP143" s="42" t="e">
        <f t="shared" si="304"/>
        <v>#REF!</v>
      </c>
      <c r="AQ143" s="59" t="e">
        <f t="shared" si="288"/>
        <v>#REF!</v>
      </c>
      <c r="AR143" s="43" t="e">
        <f t="shared" si="305"/>
        <v>#REF!</v>
      </c>
      <c r="AZ143" s="5" t="s">
        <v>206</v>
      </c>
      <c r="BA143" s="5">
        <v>464</v>
      </c>
    </row>
    <row r="144" ht="17" customHeight="1">
      <c r="A144" s="46">
        <v>97</v>
      </c>
      <c r="B144" s="82" t="s">
        <v>187</v>
      </c>
      <c r="C144" s="46" t="s">
        <v>90</v>
      </c>
      <c r="D144" s="46">
        <v>2017</v>
      </c>
      <c r="E144" s="46" t="s">
        <v>91</v>
      </c>
      <c r="F144" s="46"/>
      <c r="G144" s="73">
        <f t="shared" si="293"/>
        <v>414</v>
      </c>
      <c r="H144" s="73">
        <f t="shared" si="294"/>
        <v>228.01018288126599</v>
      </c>
      <c r="I144" s="73">
        <v>28268</v>
      </c>
      <c r="J144" s="59">
        <f t="shared" si="281"/>
        <v>11307.200000000001</v>
      </c>
      <c r="K144" s="59">
        <f t="shared" si="282"/>
        <v>0</v>
      </c>
      <c r="L144" s="59">
        <f t="shared" si="283"/>
        <v>11307.200000000001</v>
      </c>
      <c r="M144" s="59">
        <f t="shared" si="284"/>
        <v>0</v>
      </c>
      <c r="N144" s="59">
        <f t="shared" si="285"/>
        <v>0</v>
      </c>
      <c r="O144" s="59">
        <f t="shared" si="286"/>
        <v>0</v>
      </c>
      <c r="P144" s="59">
        <v>1348</v>
      </c>
      <c r="Q144" s="59">
        <v>1475</v>
      </c>
      <c r="R144" s="59">
        <f t="shared" si="295"/>
        <v>885</v>
      </c>
      <c r="S144" s="59"/>
      <c r="T144" s="59">
        <f t="shared" si="303"/>
        <v>885</v>
      </c>
      <c r="U144" s="59"/>
      <c r="V144" s="59"/>
      <c r="W144" s="59">
        <f t="shared" si="296"/>
        <v>180.13464927544399</v>
      </c>
      <c r="X144" s="61">
        <v>12733</v>
      </c>
      <c r="Y144" s="62">
        <f t="shared" si="297"/>
        <v>2.06244087038789e-002</v>
      </c>
      <c r="Z144" s="59">
        <f t="shared" si="298"/>
        <v>51.300073876139599</v>
      </c>
      <c r="AA144" s="59"/>
      <c r="AB144" s="59"/>
      <c r="AC144" s="59"/>
      <c r="AD144" s="61">
        <f t="shared" si="306"/>
        <v>11307.200000000001</v>
      </c>
      <c r="AE144" s="59"/>
      <c r="AF144" s="59"/>
      <c r="AG144" s="59">
        <v>3</v>
      </c>
      <c r="AH144" s="59"/>
      <c r="AI144" s="59"/>
      <c r="AJ144" s="62" t="e">
        <f>VLOOKUP(B:B,表6资金使用成效（12月30日）!B:L,11,0)</f>
        <v>#REF!</v>
      </c>
      <c r="AK144" s="59" t="e">
        <f t="shared" si="300"/>
        <v>#REF!</v>
      </c>
      <c r="AL144" s="61">
        <v>93.150000000000006</v>
      </c>
      <c r="AM144" s="59">
        <f t="shared" si="301"/>
        <v>61.880177600781003</v>
      </c>
      <c r="AN144" s="53" t="e">
        <f t="shared" si="302"/>
        <v>#REF!</v>
      </c>
      <c r="AO144" s="53" t="e">
        <f t="shared" si="287"/>
        <v>#REF!</v>
      </c>
      <c r="AP144" s="42" t="e">
        <f t="shared" si="304"/>
        <v>#REF!</v>
      </c>
      <c r="AQ144" s="59" t="e">
        <f t="shared" si="288"/>
        <v>#REF!</v>
      </c>
      <c r="AR144" s="43" t="e">
        <f t="shared" si="305"/>
        <v>#REF!</v>
      </c>
      <c r="AZ144" s="5" t="s">
        <v>207</v>
      </c>
      <c r="BA144" s="5">
        <v>307</v>
      </c>
    </row>
    <row r="145" ht="17" customHeight="1">
      <c r="A145" s="46">
        <v>98</v>
      </c>
      <c r="B145" s="82" t="s">
        <v>188</v>
      </c>
      <c r="C145" s="46" t="s">
        <v>90</v>
      </c>
      <c r="D145" s="46">
        <v>2019</v>
      </c>
      <c r="E145" s="46" t="s">
        <v>91</v>
      </c>
      <c r="F145" s="46"/>
      <c r="G145" s="73">
        <f t="shared" si="293"/>
        <v>1837</v>
      </c>
      <c r="H145" s="73">
        <f t="shared" si="294"/>
        <v>1011.72634288137</v>
      </c>
      <c r="I145" s="73">
        <v>28841</v>
      </c>
      <c r="J145" s="59">
        <f t="shared" si="281"/>
        <v>23072.799999999999</v>
      </c>
      <c r="K145" s="59">
        <f t="shared" si="282"/>
        <v>0</v>
      </c>
      <c r="L145" s="59">
        <f t="shared" si="283"/>
        <v>0</v>
      </c>
      <c r="M145" s="59">
        <f t="shared" si="284"/>
        <v>0</v>
      </c>
      <c r="N145" s="59">
        <f t="shared" si="285"/>
        <v>23072.799999999999</v>
      </c>
      <c r="O145" s="59">
        <f t="shared" si="286"/>
        <v>0</v>
      </c>
      <c r="P145" s="59">
        <v>2449</v>
      </c>
      <c r="Q145" s="59">
        <v>1764</v>
      </c>
      <c r="R145" s="59">
        <f t="shared" si="295"/>
        <v>1058.4000000000001</v>
      </c>
      <c r="S145" s="59"/>
      <c r="T145" s="59">
        <f t="shared" si="303"/>
        <v>1058.4000000000001</v>
      </c>
      <c r="U145" s="59"/>
      <c r="V145" s="59"/>
      <c r="W145" s="59">
        <f t="shared" si="296"/>
        <v>350.12691014358501</v>
      </c>
      <c r="X145" s="61">
        <v>10728</v>
      </c>
      <c r="Y145" s="62">
        <f t="shared" si="297"/>
        <v>0.40000000000000002</v>
      </c>
      <c r="Z145" s="59">
        <f t="shared" si="298"/>
        <v>994.93904746934902</v>
      </c>
      <c r="AA145" s="59"/>
      <c r="AB145" s="59"/>
      <c r="AC145" s="59"/>
      <c r="AD145" s="61">
        <f t="shared" si="306"/>
        <v>23072.799999999999</v>
      </c>
      <c r="AE145" s="59"/>
      <c r="AF145" s="59"/>
      <c r="AG145" s="59">
        <v>3</v>
      </c>
      <c r="AH145" s="59"/>
      <c r="AI145" s="59"/>
      <c r="AJ145" s="62" t="e">
        <f>VLOOKUP(B:B,表6资金使用成效（12月30日）!B:L,11,0)</f>
        <v>#REF!</v>
      </c>
      <c r="AK145" s="59" t="e">
        <f t="shared" si="300"/>
        <v>#REF!</v>
      </c>
      <c r="AL145" s="61">
        <v>93.650000000000006</v>
      </c>
      <c r="AM145" s="59">
        <f t="shared" si="301"/>
        <v>62.212330996383699</v>
      </c>
      <c r="AN145" s="53" t="e">
        <f t="shared" si="302"/>
        <v>#REF!</v>
      </c>
      <c r="AO145" s="53" t="e">
        <f t="shared" si="287"/>
        <v>#REF!</v>
      </c>
      <c r="AP145" s="42" t="e">
        <f t="shared" si="304"/>
        <v>#REF!</v>
      </c>
      <c r="AQ145" s="59" t="e">
        <f t="shared" si="288"/>
        <v>#REF!</v>
      </c>
      <c r="AR145" s="43" t="e">
        <f t="shared" si="305"/>
        <v>#REF!</v>
      </c>
      <c r="AZ145" s="5" t="s">
        <v>208</v>
      </c>
      <c r="BA145" s="5">
        <v>1546</v>
      </c>
    </row>
    <row r="146" ht="17" customHeight="1">
      <c r="A146" s="46">
        <v>99</v>
      </c>
      <c r="B146" s="82" t="s">
        <v>189</v>
      </c>
      <c r="C146" s="46" t="s">
        <v>90</v>
      </c>
      <c r="D146" s="46">
        <v>2017</v>
      </c>
      <c r="E146" s="46"/>
      <c r="F146" s="46"/>
      <c r="G146" s="73">
        <f t="shared" si="293"/>
        <v>1039</v>
      </c>
      <c r="H146" s="73">
        <f t="shared" si="294"/>
        <v>572.22845413921596</v>
      </c>
      <c r="I146" s="73">
        <v>29830</v>
      </c>
      <c r="J146" s="59">
        <f t="shared" si="281"/>
        <v>11932</v>
      </c>
      <c r="K146" s="59">
        <f t="shared" si="282"/>
        <v>0</v>
      </c>
      <c r="L146" s="59">
        <f t="shared" si="283"/>
        <v>11932</v>
      </c>
      <c r="M146" s="59">
        <f t="shared" si="284"/>
        <v>0</v>
      </c>
      <c r="N146" s="59">
        <f t="shared" si="285"/>
        <v>0</v>
      </c>
      <c r="O146" s="59">
        <f t="shared" si="286"/>
        <v>0</v>
      </c>
      <c r="P146" s="59">
        <v>2701</v>
      </c>
      <c r="Q146" s="59">
        <v>777</v>
      </c>
      <c r="R146" s="59">
        <f t="shared" si="295"/>
        <v>310.80000000000001</v>
      </c>
      <c r="S146" s="59">
        <f>Q146*0.4</f>
        <v>310.80000000000001</v>
      </c>
      <c r="T146" s="59"/>
      <c r="U146" s="59"/>
      <c r="V146" s="59"/>
      <c r="W146" s="59">
        <f t="shared" si="296"/>
        <v>203.045150774218</v>
      </c>
      <c r="X146" s="61">
        <v>12457</v>
      </c>
      <c r="Y146" s="62">
        <f t="shared" si="297"/>
        <v>7.2847682119205295e-002</v>
      </c>
      <c r="Z146" s="59">
        <f t="shared" si="298"/>
        <v>181.19750864508001</v>
      </c>
      <c r="AA146" s="59"/>
      <c r="AB146" s="59"/>
      <c r="AC146" s="59"/>
      <c r="AD146" s="61"/>
      <c r="AE146" s="59">
        <f>AD146/$AD$9*71500</f>
        <v>0</v>
      </c>
      <c r="AF146" s="59"/>
      <c r="AG146" s="59">
        <v>3</v>
      </c>
      <c r="AH146" s="59"/>
      <c r="AI146" s="59"/>
      <c r="AJ146" s="62" t="e">
        <f>VLOOKUP(B:B,表6资金使用成效（12月30日）!B:L,11,0)</f>
        <v>#REF!</v>
      </c>
      <c r="AK146" s="59" t="e">
        <f t="shared" si="300"/>
        <v>#REF!</v>
      </c>
      <c r="AL146" s="61">
        <v>93.930000000000007</v>
      </c>
      <c r="AM146" s="59">
        <f t="shared" si="301"/>
        <v>62.398336897921197</v>
      </c>
      <c r="AN146" s="53" t="e">
        <f t="shared" si="302"/>
        <v>#REF!</v>
      </c>
      <c r="AO146" s="53" t="e">
        <f t="shared" si="287"/>
        <v>#REF!</v>
      </c>
      <c r="AP146" s="42" t="e">
        <f t="shared" si="304"/>
        <v>#REF!</v>
      </c>
      <c r="AQ146" s="59" t="e">
        <f t="shared" si="288"/>
        <v>#REF!</v>
      </c>
      <c r="AR146" s="43" t="e">
        <f t="shared" si="305"/>
        <v>#REF!</v>
      </c>
      <c r="AZ146" s="5" t="s">
        <v>209</v>
      </c>
      <c r="BA146" s="5">
        <v>2330</v>
      </c>
    </row>
    <row r="147" s="64" customFormat="1" ht="17" customHeight="1">
      <c r="A147" s="65"/>
      <c r="B147" s="66" t="s">
        <v>190</v>
      </c>
      <c r="C147" s="67">
        <v>1</v>
      </c>
      <c r="D147" s="67"/>
      <c r="E147" s="67"/>
      <c r="F147" s="67"/>
      <c r="G147" s="87">
        <f>G148+G149</f>
        <v>10058</v>
      </c>
      <c r="H147" s="87">
        <f>H148+H149</f>
        <v>5539.4357956999402</v>
      </c>
      <c r="I147" s="87">
        <f t="shared" ref="I147:O147" si="308">I148+I149</f>
        <v>351335</v>
      </c>
      <c r="J147" s="69">
        <f t="shared" si="308"/>
        <v>225822.39999999999</v>
      </c>
      <c r="K147" s="69">
        <f t="shared" si="308"/>
        <v>9329.7999999999993</v>
      </c>
      <c r="L147" s="69">
        <f t="shared" si="308"/>
        <v>0</v>
      </c>
      <c r="M147" s="69">
        <f t="shared" si="308"/>
        <v>81768.600000000006</v>
      </c>
      <c r="N147" s="69">
        <f t="shared" si="308"/>
        <v>134724</v>
      </c>
      <c r="O147" s="69">
        <f t="shared" si="308"/>
        <v>0</v>
      </c>
      <c r="P147" s="69">
        <v>54818</v>
      </c>
      <c r="Q147" s="69">
        <f t="shared" ref="Q147:W147" si="309">Q148+Q149</f>
        <v>72169</v>
      </c>
      <c r="R147" s="69">
        <f t="shared" si="309"/>
        <v>71328.199999999997</v>
      </c>
      <c r="S147" s="69">
        <f t="shared" si="309"/>
        <v>0</v>
      </c>
      <c r="T147" s="69">
        <f t="shared" si="309"/>
        <v>0</v>
      </c>
      <c r="U147" s="69">
        <f t="shared" si="309"/>
        <v>3363.1999999999998</v>
      </c>
      <c r="V147" s="69">
        <f t="shared" si="309"/>
        <v>67965</v>
      </c>
      <c r="W147" s="69">
        <f t="shared" si="309"/>
        <v>4961.9996981166896</v>
      </c>
      <c r="X147" s="88"/>
      <c r="Y147" s="89">
        <f t="shared" ref="Y147:AI147" si="310">Y148+Y149</f>
        <v>0.15193945127719999</v>
      </c>
      <c r="Z147" s="69">
        <f t="shared" si="310"/>
        <v>377.92623231688202</v>
      </c>
      <c r="AA147" s="69">
        <v>11</v>
      </c>
      <c r="AB147" s="69">
        <f t="shared" si="310"/>
        <v>0</v>
      </c>
      <c r="AC147" s="69">
        <f t="shared" si="310"/>
        <v>0</v>
      </c>
      <c r="AD147" s="90">
        <f t="shared" si="310"/>
        <v>65484</v>
      </c>
      <c r="AE147" s="69">
        <f t="shared" si="310"/>
        <v>0</v>
      </c>
      <c r="AF147" s="87">
        <f t="shared" si="310"/>
        <v>0</v>
      </c>
      <c r="AG147" s="87">
        <f t="shared" si="310"/>
        <v>23</v>
      </c>
      <c r="AH147" s="87">
        <f t="shared" si="310"/>
        <v>0</v>
      </c>
      <c r="AI147" s="69">
        <f t="shared" si="310"/>
        <v>0</v>
      </c>
      <c r="AJ147" s="89"/>
      <c r="AK147" s="69" t="e">
        <f t="shared" ref="AK147:AO147" si="311">AK148+AK149</f>
        <v>#REF!</v>
      </c>
      <c r="AL147" s="90">
        <f t="shared" si="311"/>
        <v>463.94</v>
      </c>
      <c r="AM147" s="69">
        <f t="shared" si="311"/>
        <v>308.19849271182301</v>
      </c>
      <c r="AN147" s="87" t="e">
        <f t="shared" si="311"/>
        <v>#REF!</v>
      </c>
      <c r="AO147" s="87" t="e">
        <f t="shared" si="311"/>
        <v>#REF!</v>
      </c>
      <c r="AP147" s="42" t="e">
        <f t="shared" si="304"/>
        <v>#REF!</v>
      </c>
      <c r="AQ147" s="89" t="e">
        <f>AQ148+AQ149</f>
        <v>#REF!</v>
      </c>
      <c r="AR147" s="43" t="e">
        <f t="shared" si="305"/>
        <v>#REF!</v>
      </c>
      <c r="AS147" s="5"/>
      <c r="AT147" s="5"/>
      <c r="AU147" s="5"/>
      <c r="AV147" s="5"/>
      <c r="AW147" s="5"/>
      <c r="AX147" s="5"/>
      <c r="AY147" s="5"/>
      <c r="AZ147" s="5" t="s">
        <v>210</v>
      </c>
      <c r="BA147" s="5">
        <v>2415</v>
      </c>
      <c r="BB147" s="5"/>
      <c r="BC147" s="5"/>
      <c r="BD147" s="5"/>
      <c r="BE147" s="5"/>
      <c r="BF147" s="5"/>
      <c r="BG147" s="5"/>
      <c r="BH147" s="5"/>
      <c r="BI147" s="5"/>
      <c r="BJ147" s="5"/>
      <c r="BK147" s="5"/>
      <c r="BL147" s="5"/>
      <c r="BM147" s="5"/>
      <c r="BN147" s="5"/>
      <c r="BO147" s="5"/>
      <c r="BP147" s="5"/>
      <c r="BQ147" s="5"/>
      <c r="BR147" s="5"/>
      <c r="BS147" s="5"/>
      <c r="BT147" s="5"/>
      <c r="BU147" s="5"/>
      <c r="BV147" s="5"/>
      <c r="BW147" s="5"/>
    </row>
    <row r="148" ht="17" customHeight="1">
      <c r="A148" s="44"/>
      <c r="B148" s="72" t="s">
        <v>191</v>
      </c>
      <c r="C148" s="46">
        <v>2</v>
      </c>
      <c r="D148" s="46"/>
      <c r="E148" s="46"/>
      <c r="F148" s="46"/>
      <c r="G148" s="73"/>
      <c r="H148" s="73"/>
      <c r="I148" s="73"/>
      <c r="J148" s="59">
        <f t="shared" ref="J148:J154" si="312">SUM(K148:O148)</f>
        <v>0</v>
      </c>
      <c r="K148" s="59">
        <f t="shared" ref="K148:K154" si="313">IF(D148="",I148*0.2,0)</f>
        <v>0</v>
      </c>
      <c r="L148" s="59">
        <f t="shared" ref="L148:L154" si="314">IF(D148=2017,I148*0.4,0)</f>
        <v>0</v>
      </c>
      <c r="M148" s="59">
        <f t="shared" ref="M148:M154" si="315">IF(D148=2018,I148*0.6,0)</f>
        <v>0</v>
      </c>
      <c r="N148" s="59">
        <f t="shared" ref="N148:N154" si="316">IF(D148=2019,I148*0.8,0)</f>
        <v>0</v>
      </c>
      <c r="O148" s="59">
        <f t="shared" ref="O148:O154" si="317">IF(D148=2020,I148*1,0)</f>
        <v>0</v>
      </c>
      <c r="P148" s="59"/>
      <c r="Q148" s="59"/>
      <c r="R148" s="59">
        <f>N148*0.4+O148*0.6+P148*0.8+Q148*1</f>
        <v>0</v>
      </c>
      <c r="S148" s="59">
        <f>Q148-T148-U148-V148</f>
        <v>0</v>
      </c>
      <c r="T148" s="59"/>
      <c r="U148" s="59"/>
      <c r="V148" s="59"/>
      <c r="W148" s="59"/>
      <c r="X148" s="61"/>
      <c r="Y148" s="62"/>
      <c r="Z148" s="59"/>
      <c r="AA148" s="59"/>
      <c r="AB148" s="59"/>
      <c r="AC148" s="59"/>
      <c r="AD148" s="61"/>
      <c r="AE148" s="59"/>
      <c r="AF148" s="59"/>
      <c r="AG148" s="59"/>
      <c r="AH148" s="59"/>
      <c r="AI148" s="59"/>
      <c r="AJ148" s="62"/>
      <c r="AK148" s="59" t="e">
        <f>AJ148/$AJ$9*0.05*200000</f>
        <v>#REF!</v>
      </c>
      <c r="AL148" s="61"/>
      <c r="AM148" s="59">
        <f>(AL148/$AL$9)*0.05*200000</f>
        <v>0</v>
      </c>
      <c r="AN148" s="53" t="e">
        <f>ROUND(AM148+AK148+AE148+AC148+Z148+W148,0)</f>
        <v>#REF!</v>
      </c>
      <c r="AO148" s="53" t="e">
        <f t="shared" ref="AO148:AO154" si="318">AN148-G148</f>
        <v>#REF!</v>
      </c>
      <c r="AP148" s="42"/>
      <c r="AQ148" s="62" t="e">
        <f t="shared" ref="AQ148:AQ154" si="319">AN148-H148</f>
        <v>#REF!</v>
      </c>
      <c r="AR148" s="43"/>
      <c r="AZ148" s="5" t="s">
        <v>211</v>
      </c>
      <c r="BA148" s="5">
        <v>40553</v>
      </c>
    </row>
    <row r="149" s="74" customFormat="1" ht="17" customHeight="1">
      <c r="A149" s="75"/>
      <c r="B149" s="76" t="s">
        <v>76</v>
      </c>
      <c r="C149" s="77">
        <v>3</v>
      </c>
      <c r="D149" s="77"/>
      <c r="E149" s="77"/>
      <c r="F149" s="77"/>
      <c r="G149" s="91">
        <f>SUM(G150:G154)</f>
        <v>10058</v>
      </c>
      <c r="H149" s="91">
        <f>SUM(H150:H154)</f>
        <v>5539.4357956999402</v>
      </c>
      <c r="I149" s="91">
        <f t="shared" ref="I149:O149" si="320">SUM(I150:I154)</f>
        <v>351335</v>
      </c>
      <c r="J149" s="79">
        <f t="shared" si="320"/>
        <v>225822.39999999999</v>
      </c>
      <c r="K149" s="79">
        <f t="shared" si="320"/>
        <v>9329.7999999999993</v>
      </c>
      <c r="L149" s="79">
        <f t="shared" si="320"/>
        <v>0</v>
      </c>
      <c r="M149" s="79">
        <f t="shared" si="320"/>
        <v>81768.600000000006</v>
      </c>
      <c r="N149" s="79">
        <f t="shared" si="320"/>
        <v>134724</v>
      </c>
      <c r="O149" s="79">
        <f t="shared" si="320"/>
        <v>0</v>
      </c>
      <c r="P149" s="79">
        <v>54818</v>
      </c>
      <c r="Q149" s="79">
        <f t="shared" ref="Q149:W149" si="321">SUM(Q150:Q154)</f>
        <v>72169</v>
      </c>
      <c r="R149" s="79">
        <f t="shared" si="321"/>
        <v>71328.199999999997</v>
      </c>
      <c r="S149" s="79">
        <f t="shared" si="321"/>
        <v>0</v>
      </c>
      <c r="T149" s="79">
        <f t="shared" si="321"/>
        <v>0</v>
      </c>
      <c r="U149" s="79">
        <f t="shared" si="321"/>
        <v>3363.1999999999998</v>
      </c>
      <c r="V149" s="79">
        <f t="shared" si="321"/>
        <v>67965</v>
      </c>
      <c r="W149" s="79">
        <f t="shared" si="321"/>
        <v>4961.9996981166896</v>
      </c>
      <c r="X149" s="92"/>
      <c r="Y149" s="93">
        <f t="shared" ref="Y149:AI149" si="322">SUM(Y150:Y154)</f>
        <v>0.15193945127719999</v>
      </c>
      <c r="Z149" s="79">
        <f t="shared" si="322"/>
        <v>377.92623231688202</v>
      </c>
      <c r="AA149" s="79">
        <v>11</v>
      </c>
      <c r="AB149" s="79">
        <f t="shared" si="322"/>
        <v>0</v>
      </c>
      <c r="AC149" s="79">
        <f t="shared" si="322"/>
        <v>0</v>
      </c>
      <c r="AD149" s="94">
        <f t="shared" si="322"/>
        <v>65484</v>
      </c>
      <c r="AE149" s="79">
        <f t="shared" si="322"/>
        <v>0</v>
      </c>
      <c r="AF149" s="91">
        <f t="shared" si="322"/>
        <v>0</v>
      </c>
      <c r="AG149" s="91">
        <f t="shared" si="322"/>
        <v>23</v>
      </c>
      <c r="AH149" s="91">
        <f t="shared" si="322"/>
        <v>0</v>
      </c>
      <c r="AI149" s="79">
        <f t="shared" si="322"/>
        <v>0</v>
      </c>
      <c r="AJ149" s="93"/>
      <c r="AK149" s="79" t="e">
        <f t="shared" ref="AK149:AO149" si="323">SUM(AK150:AK154)</f>
        <v>#REF!</v>
      </c>
      <c r="AL149" s="94">
        <f t="shared" si="323"/>
        <v>463.94</v>
      </c>
      <c r="AM149" s="79">
        <f t="shared" si="323"/>
        <v>308.19849271182301</v>
      </c>
      <c r="AN149" s="91" t="e">
        <f t="shared" si="323"/>
        <v>#REF!</v>
      </c>
      <c r="AO149" s="91" t="e">
        <f t="shared" si="323"/>
        <v>#REF!</v>
      </c>
      <c r="AP149" s="42" t="e">
        <f t="shared" si="304"/>
        <v>#REF!</v>
      </c>
      <c r="AQ149" s="93" t="e">
        <f>SUM(AQ150:AQ154)</f>
        <v>#REF!</v>
      </c>
      <c r="AR149" s="43" t="e">
        <f t="shared" si="305"/>
        <v>#REF!</v>
      </c>
      <c r="AS149" s="5"/>
      <c r="AT149" s="5"/>
      <c r="AU149" s="5"/>
      <c r="AV149" s="5"/>
      <c r="AW149" s="5"/>
      <c r="AX149" s="5"/>
      <c r="AY149" s="5"/>
      <c r="AZ149" s="5" t="s">
        <v>212</v>
      </c>
      <c r="BA149" s="5">
        <v>0</v>
      </c>
      <c r="BB149" s="5"/>
      <c r="BC149" s="5"/>
      <c r="BD149" s="5"/>
      <c r="BE149" s="5"/>
      <c r="BF149" s="5"/>
      <c r="BG149" s="5"/>
      <c r="BH149" s="5"/>
      <c r="BI149" s="5"/>
      <c r="BJ149" s="5"/>
      <c r="BK149" s="5"/>
      <c r="BL149" s="5"/>
      <c r="BM149" s="5"/>
      <c r="BN149" s="5"/>
      <c r="BO149" s="5"/>
      <c r="BP149" s="5"/>
      <c r="BQ149" s="5"/>
      <c r="BR149" s="5"/>
      <c r="BS149" s="5"/>
      <c r="BT149" s="5"/>
      <c r="BU149" s="5"/>
      <c r="BV149" s="5"/>
      <c r="BW149" s="5"/>
    </row>
    <row r="150" ht="17" customHeight="1">
      <c r="A150" s="46">
        <v>100</v>
      </c>
      <c r="B150" s="82" t="s">
        <v>192</v>
      </c>
      <c r="C150" s="46" t="s">
        <v>90</v>
      </c>
      <c r="D150" s="46">
        <v>2019</v>
      </c>
      <c r="E150" s="46"/>
      <c r="F150" s="46"/>
      <c r="G150" s="73">
        <f t="shared" ref="G150:G154" si="324">VLOOKUP(B:B,$AZ:$BA,2,0)</f>
        <v>1025</v>
      </c>
      <c r="H150" s="73">
        <f t="shared" ref="H150:H154" si="325">G150*210000/381298.76</f>
        <v>564.51796486303795</v>
      </c>
      <c r="I150" s="73">
        <v>86550</v>
      </c>
      <c r="J150" s="59">
        <f t="shared" si="312"/>
        <v>69240</v>
      </c>
      <c r="K150" s="59">
        <f t="shared" si="313"/>
        <v>0</v>
      </c>
      <c r="L150" s="59">
        <f t="shared" si="314"/>
        <v>0</v>
      </c>
      <c r="M150" s="59">
        <f t="shared" si="315"/>
        <v>0</v>
      </c>
      <c r="N150" s="59">
        <f t="shared" si="316"/>
        <v>69240</v>
      </c>
      <c r="O150" s="59">
        <f t="shared" si="317"/>
        <v>0</v>
      </c>
      <c r="P150" s="59">
        <v>17475</v>
      </c>
      <c r="Q150" s="59">
        <v>18864</v>
      </c>
      <c r="R150" s="59">
        <f t="shared" ref="R150:R154" si="326">S150+T150+U150+V150</f>
        <v>18864</v>
      </c>
      <c r="S150" s="59"/>
      <c r="T150" s="59"/>
      <c r="U150" s="59"/>
      <c r="V150" s="59">
        <f t="shared" ref="V150:V154" si="327">Q150*1</f>
        <v>18864</v>
      </c>
      <c r="W150" s="59">
        <f t="shared" ref="W150:W154" si="328">(J150/$J$9*0.2+P150/$P$9*0.05+R150/$R$9*0.05)*299423</f>
        <v>1485.0477682130099</v>
      </c>
      <c r="X150" s="61">
        <v>14854</v>
      </c>
      <c r="Y150" s="62">
        <f t="shared" ref="Y150:Y154" si="329">IF(X150&lt;12842,(12842-X150)/(12842-$X$175),0)</f>
        <v>0</v>
      </c>
      <c r="Z150" s="59">
        <f t="shared" ref="Z150:Z154" si="330">(Y150/$Y$9*0.15)*299423</f>
        <v>0</v>
      </c>
      <c r="AA150" s="59"/>
      <c r="AB150" s="59"/>
      <c r="AC150" s="59"/>
      <c r="AD150" s="61"/>
      <c r="AE150" s="59">
        <f t="shared" ref="AE150:AE154" si="331">AD150/$AD$9*71500</f>
        <v>0</v>
      </c>
      <c r="AF150" s="59"/>
      <c r="AG150" s="59">
        <v>10</v>
      </c>
      <c r="AH150" s="59"/>
      <c r="AI150" s="59"/>
      <c r="AJ150" s="62" t="e">
        <f>VLOOKUP(B:B,表6资金使用成效（12月30日）!B:L,11,0)</f>
        <v>#REF!</v>
      </c>
      <c r="AK150" s="59" t="e">
        <f t="shared" ref="AK150:AK154" si="332">AJ150/$AJ$9*0.025*299423</f>
        <v>#REF!</v>
      </c>
      <c r="AL150" s="61">
        <v>87.849999999999994</v>
      </c>
      <c r="AM150" s="59">
        <f t="shared" ref="AM150:AM154" si="333">(AL150/$AL$9)*0.025*299423</f>
        <v>58.359351607392497</v>
      </c>
      <c r="AN150" s="53" t="e">
        <f t="shared" ref="AN150:AN154" si="334">ROUND(AM150+AK150+AE150+AC150+Z150+W150+AI150+AF150,0)</f>
        <v>#REF!</v>
      </c>
      <c r="AO150" s="53" t="e">
        <f t="shared" si="318"/>
        <v>#REF!</v>
      </c>
      <c r="AP150" s="42" t="e">
        <f t="shared" si="304"/>
        <v>#REF!</v>
      </c>
      <c r="AQ150" s="59" t="e">
        <f t="shared" si="319"/>
        <v>#REF!</v>
      </c>
      <c r="AR150" s="43" t="e">
        <f t="shared" si="305"/>
        <v>#REF!</v>
      </c>
      <c r="AZ150" s="5" t="s">
        <v>213</v>
      </c>
      <c r="BA150" s="5">
        <v>17822</v>
      </c>
    </row>
    <row r="151" ht="17" customHeight="1">
      <c r="A151" s="46">
        <v>101</v>
      </c>
      <c r="B151" s="82" t="s">
        <v>193</v>
      </c>
      <c r="C151" s="46" t="s">
        <v>90</v>
      </c>
      <c r="D151" s="46">
        <v>2019</v>
      </c>
      <c r="E151" s="46" t="s">
        <v>91</v>
      </c>
      <c r="F151" s="46"/>
      <c r="G151" s="73">
        <f t="shared" si="324"/>
        <v>2787</v>
      </c>
      <c r="H151" s="73">
        <f t="shared" si="325"/>
        <v>1534.9381151934499</v>
      </c>
      <c r="I151" s="73">
        <v>81855</v>
      </c>
      <c r="J151" s="59">
        <f t="shared" si="312"/>
        <v>65484</v>
      </c>
      <c r="K151" s="59">
        <f t="shared" si="313"/>
        <v>0</v>
      </c>
      <c r="L151" s="59">
        <f t="shared" si="314"/>
        <v>0</v>
      </c>
      <c r="M151" s="59">
        <f t="shared" si="315"/>
        <v>0</v>
      </c>
      <c r="N151" s="59">
        <f t="shared" si="316"/>
        <v>65484</v>
      </c>
      <c r="O151" s="59">
        <f t="shared" si="317"/>
        <v>0</v>
      </c>
      <c r="P151" s="59">
        <v>9258</v>
      </c>
      <c r="Q151" s="59">
        <v>21939</v>
      </c>
      <c r="R151" s="59">
        <f t="shared" si="326"/>
        <v>21939</v>
      </c>
      <c r="S151" s="59"/>
      <c r="T151" s="59"/>
      <c r="U151" s="59"/>
      <c r="V151" s="59">
        <f t="shared" si="327"/>
        <v>21939</v>
      </c>
      <c r="W151" s="59">
        <f t="shared" si="328"/>
        <v>1339.76037972573</v>
      </c>
      <c r="X151" s="61">
        <v>12255</v>
      </c>
      <c r="Y151" s="62">
        <f t="shared" si="329"/>
        <v>0.111069063386944</v>
      </c>
      <c r="Z151" s="59">
        <f t="shared" si="330"/>
        <v>276.26737032379799</v>
      </c>
      <c r="AA151" s="59"/>
      <c r="AB151" s="59"/>
      <c r="AC151" s="59"/>
      <c r="AD151" s="61">
        <f>J151</f>
        <v>65484</v>
      </c>
      <c r="AE151" s="59"/>
      <c r="AF151" s="59"/>
      <c r="AG151" s="59">
        <v>6</v>
      </c>
      <c r="AH151" s="59"/>
      <c r="AI151" s="59"/>
      <c r="AJ151" s="62" t="e">
        <f>VLOOKUP(B:B,表6资金使用成效（12月30日）!B:L,11,0)</f>
        <v>#REF!</v>
      </c>
      <c r="AK151" s="59" t="e">
        <f t="shared" si="332"/>
        <v>#REF!</v>
      </c>
      <c r="AL151" s="61">
        <v>91.680000000000007</v>
      </c>
      <c r="AM151" s="59">
        <f t="shared" si="333"/>
        <v>60.9036466177091</v>
      </c>
      <c r="AN151" s="53" t="e">
        <f t="shared" si="334"/>
        <v>#REF!</v>
      </c>
      <c r="AO151" s="53" t="e">
        <f t="shared" si="318"/>
        <v>#REF!</v>
      </c>
      <c r="AP151" s="42" t="e">
        <f t="shared" si="304"/>
        <v>#REF!</v>
      </c>
      <c r="AQ151" s="59" t="e">
        <f t="shared" si="319"/>
        <v>#REF!</v>
      </c>
      <c r="AR151" s="43" t="e">
        <f t="shared" si="305"/>
        <v>#REF!</v>
      </c>
      <c r="AZ151" s="5" t="s">
        <v>214</v>
      </c>
      <c r="BA151" s="5">
        <v>10143</v>
      </c>
    </row>
    <row r="152" ht="17" customHeight="1">
      <c r="A152" s="46">
        <v>102</v>
      </c>
      <c r="B152" s="82" t="s">
        <v>194</v>
      </c>
      <c r="C152" s="46" t="s">
        <v>78</v>
      </c>
      <c r="D152" s="46"/>
      <c r="E152" s="46"/>
      <c r="F152" s="46" t="s">
        <v>146</v>
      </c>
      <c r="G152" s="73">
        <f t="shared" si="324"/>
        <v>2102</v>
      </c>
      <c r="H152" s="73">
        <f t="shared" si="325"/>
        <v>1157.6748898947401</v>
      </c>
      <c r="I152" s="73">
        <v>46649</v>
      </c>
      <c r="J152" s="59">
        <f t="shared" si="312"/>
        <v>9329.7999999999993</v>
      </c>
      <c r="K152" s="59">
        <f t="shared" si="313"/>
        <v>9329.7999999999993</v>
      </c>
      <c r="L152" s="59">
        <f t="shared" si="314"/>
        <v>0</v>
      </c>
      <c r="M152" s="59">
        <f t="shared" si="315"/>
        <v>0</v>
      </c>
      <c r="N152" s="59">
        <f t="shared" si="316"/>
        <v>0</v>
      </c>
      <c r="O152" s="59">
        <f t="shared" si="317"/>
        <v>0</v>
      </c>
      <c r="P152" s="59">
        <v>9865</v>
      </c>
      <c r="Q152" s="59">
        <v>4204</v>
      </c>
      <c r="R152" s="59">
        <f t="shared" si="326"/>
        <v>3363.1999999999998</v>
      </c>
      <c r="S152" s="59"/>
      <c r="T152" s="59"/>
      <c r="U152" s="59">
        <f>Q152*0.8</f>
        <v>3363.1999999999998</v>
      </c>
      <c r="V152" s="59"/>
      <c r="W152" s="59">
        <f t="shared" si="328"/>
        <v>348.30381487540399</v>
      </c>
      <c r="X152" s="61">
        <v>13463</v>
      </c>
      <c r="Y152" s="62">
        <f t="shared" si="329"/>
        <v>0</v>
      </c>
      <c r="Z152" s="59">
        <f t="shared" si="330"/>
        <v>0</v>
      </c>
      <c r="AA152" s="59">
        <v>6</v>
      </c>
      <c r="AB152" s="59"/>
      <c r="AC152" s="59"/>
      <c r="AD152" s="61"/>
      <c r="AE152" s="59">
        <f t="shared" si="331"/>
        <v>0</v>
      </c>
      <c r="AF152" s="59"/>
      <c r="AG152" s="59"/>
      <c r="AH152" s="59">
        <f>AG152/$AG$13*9347</f>
        <v>0</v>
      </c>
      <c r="AI152" s="59"/>
      <c r="AJ152" s="62" t="e">
        <f>VLOOKUP(B:B,表6资金使用成效（12月30日）!B:L,11,0)</f>
        <v>#REF!</v>
      </c>
      <c r="AK152" s="59" t="e">
        <f t="shared" si="332"/>
        <v>#REF!</v>
      </c>
      <c r="AL152" s="61">
        <v>95.980000000000004</v>
      </c>
      <c r="AM152" s="59">
        <f t="shared" si="333"/>
        <v>63.760165819892201</v>
      </c>
      <c r="AN152" s="53" t="e">
        <f t="shared" si="334"/>
        <v>#REF!</v>
      </c>
      <c r="AO152" s="53" t="e">
        <f t="shared" si="318"/>
        <v>#REF!</v>
      </c>
      <c r="AP152" s="42" t="e">
        <f t="shared" si="304"/>
        <v>#REF!</v>
      </c>
      <c r="AQ152" s="59" t="e">
        <f t="shared" si="319"/>
        <v>#REF!</v>
      </c>
      <c r="AR152" s="43" t="e">
        <f t="shared" si="305"/>
        <v>#REF!</v>
      </c>
      <c r="AZ152" s="5" t="s">
        <v>215</v>
      </c>
      <c r="BA152" s="5">
        <v>6688</v>
      </c>
    </row>
    <row r="153" ht="17" customHeight="1">
      <c r="A153" s="46">
        <v>103</v>
      </c>
      <c r="B153" s="82" t="s">
        <v>196</v>
      </c>
      <c r="C153" s="46" t="s">
        <v>90</v>
      </c>
      <c r="D153" s="46">
        <v>2018</v>
      </c>
      <c r="E153" s="46"/>
      <c r="F153" s="46"/>
      <c r="G153" s="73">
        <f t="shared" si="324"/>
        <v>2272</v>
      </c>
      <c r="H153" s="73">
        <f t="shared" si="325"/>
        <v>1251.3022596768999</v>
      </c>
      <c r="I153" s="73">
        <v>80286</v>
      </c>
      <c r="J153" s="59">
        <f t="shared" si="312"/>
        <v>48171.599999999999</v>
      </c>
      <c r="K153" s="59">
        <f t="shared" si="313"/>
        <v>0</v>
      </c>
      <c r="L153" s="59">
        <f t="shared" si="314"/>
        <v>0</v>
      </c>
      <c r="M153" s="59">
        <f t="shared" si="315"/>
        <v>48171.599999999999</v>
      </c>
      <c r="N153" s="59">
        <f t="shared" si="316"/>
        <v>0</v>
      </c>
      <c r="O153" s="59">
        <f t="shared" si="317"/>
        <v>0</v>
      </c>
      <c r="P153" s="59">
        <v>8527</v>
      </c>
      <c r="Q153" s="59">
        <v>13532</v>
      </c>
      <c r="R153" s="59">
        <f t="shared" si="326"/>
        <v>13532</v>
      </c>
      <c r="S153" s="59"/>
      <c r="T153" s="59"/>
      <c r="U153" s="59"/>
      <c r="V153" s="59">
        <f t="shared" si="327"/>
        <v>13532</v>
      </c>
      <c r="W153" s="59">
        <f t="shared" si="328"/>
        <v>974.48136475294905</v>
      </c>
      <c r="X153" s="61">
        <v>12992</v>
      </c>
      <c r="Y153" s="62">
        <f t="shared" si="329"/>
        <v>0</v>
      </c>
      <c r="Z153" s="59">
        <f t="shared" si="330"/>
        <v>0</v>
      </c>
      <c r="AA153" s="59"/>
      <c r="AB153" s="59"/>
      <c r="AC153" s="59"/>
      <c r="AD153" s="61"/>
      <c r="AE153" s="59">
        <f t="shared" si="331"/>
        <v>0</v>
      </c>
      <c r="AF153" s="59"/>
      <c r="AG153" s="59">
        <v>7</v>
      </c>
      <c r="AH153" s="59"/>
      <c r="AI153" s="59"/>
      <c r="AJ153" s="62" t="e">
        <f>VLOOKUP(B:B,表6资金使用成效（12月30日）!B:L,11,0)</f>
        <v>#REF!</v>
      </c>
      <c r="AK153" s="59" t="e">
        <f t="shared" si="332"/>
        <v>#REF!</v>
      </c>
      <c r="AL153" s="61">
        <v>94.310000000000002</v>
      </c>
      <c r="AM153" s="59">
        <f t="shared" si="333"/>
        <v>62.650773478579197</v>
      </c>
      <c r="AN153" s="53" t="e">
        <f t="shared" si="334"/>
        <v>#REF!</v>
      </c>
      <c r="AO153" s="53" t="e">
        <f t="shared" si="318"/>
        <v>#REF!</v>
      </c>
      <c r="AP153" s="42" t="e">
        <f t="shared" si="304"/>
        <v>#REF!</v>
      </c>
      <c r="AQ153" s="59" t="e">
        <f t="shared" si="319"/>
        <v>#REF!</v>
      </c>
      <c r="AR153" s="43" t="e">
        <f t="shared" si="305"/>
        <v>#REF!</v>
      </c>
      <c r="AZ153" s="5" t="s">
        <v>216</v>
      </c>
      <c r="BA153" s="5">
        <v>5900</v>
      </c>
    </row>
    <row r="154" ht="17" customHeight="1">
      <c r="A154" s="46">
        <v>104</v>
      </c>
      <c r="B154" s="82" t="s">
        <v>195</v>
      </c>
      <c r="C154" s="46" t="s">
        <v>90</v>
      </c>
      <c r="D154" s="46">
        <v>2018</v>
      </c>
      <c r="E154" s="46"/>
      <c r="F154" s="46" t="s">
        <v>146</v>
      </c>
      <c r="G154" s="73">
        <f t="shared" si="324"/>
        <v>1872</v>
      </c>
      <c r="H154" s="73">
        <f t="shared" si="325"/>
        <v>1031.00256607181</v>
      </c>
      <c r="I154" s="73">
        <v>55995</v>
      </c>
      <c r="J154" s="59">
        <f t="shared" si="312"/>
        <v>33597</v>
      </c>
      <c r="K154" s="59">
        <f t="shared" si="313"/>
        <v>0</v>
      </c>
      <c r="L154" s="59">
        <f t="shared" si="314"/>
        <v>0</v>
      </c>
      <c r="M154" s="59">
        <f t="shared" si="315"/>
        <v>33597</v>
      </c>
      <c r="N154" s="59">
        <f t="shared" si="316"/>
        <v>0</v>
      </c>
      <c r="O154" s="59">
        <f t="shared" si="317"/>
        <v>0</v>
      </c>
      <c r="P154" s="59">
        <v>9693</v>
      </c>
      <c r="Q154" s="59">
        <v>13630</v>
      </c>
      <c r="R154" s="59">
        <f t="shared" si="326"/>
        <v>13630</v>
      </c>
      <c r="S154" s="59"/>
      <c r="T154" s="59"/>
      <c r="U154" s="59"/>
      <c r="V154" s="59">
        <f t="shared" si="327"/>
        <v>13630</v>
      </c>
      <c r="W154" s="59">
        <f t="shared" si="328"/>
        <v>814.40637054959404</v>
      </c>
      <c r="X154" s="61">
        <v>12626</v>
      </c>
      <c r="Y154" s="62">
        <f t="shared" si="329"/>
        <v>4.0870387890255398e-002</v>
      </c>
      <c r="Z154" s="59">
        <f t="shared" si="330"/>
        <v>101.658861993084</v>
      </c>
      <c r="AA154" s="59">
        <v>5</v>
      </c>
      <c r="AB154" s="59"/>
      <c r="AC154" s="59"/>
      <c r="AD154" s="61"/>
      <c r="AE154" s="59">
        <f t="shared" si="331"/>
        <v>0</v>
      </c>
      <c r="AF154" s="59"/>
      <c r="AG154" s="59"/>
      <c r="AH154" s="59"/>
      <c r="AI154" s="59"/>
      <c r="AJ154" s="62" t="e">
        <f>VLOOKUP(B:B,表6资金使用成效（12月30日）!B:L,11,0)</f>
        <v>#REF!</v>
      </c>
      <c r="AK154" s="59" t="e">
        <f t="shared" si="332"/>
        <v>#REF!</v>
      </c>
      <c r="AL154" s="61">
        <v>94.120000000000005</v>
      </c>
      <c r="AM154" s="59">
        <f t="shared" si="333"/>
        <v>62.524555188250197</v>
      </c>
      <c r="AN154" s="53" t="e">
        <f t="shared" si="334"/>
        <v>#REF!</v>
      </c>
      <c r="AO154" s="53" t="e">
        <f t="shared" si="318"/>
        <v>#REF!</v>
      </c>
      <c r="AP154" s="42" t="e">
        <f t="shared" si="304"/>
        <v>#REF!</v>
      </c>
      <c r="AQ154" s="59" t="e">
        <f t="shared" si="319"/>
        <v>#REF!</v>
      </c>
      <c r="AR154" s="43" t="e">
        <f t="shared" si="305"/>
        <v>#REF!</v>
      </c>
      <c r="AZ154" s="5" t="s">
        <v>217</v>
      </c>
      <c r="BA154" s="5">
        <v>23825</v>
      </c>
    </row>
    <row r="155" s="64" customFormat="1" ht="17" customHeight="1">
      <c r="A155" s="65"/>
      <c r="B155" s="66" t="s">
        <v>197</v>
      </c>
      <c r="C155" s="67">
        <v>1</v>
      </c>
      <c r="D155" s="67"/>
      <c r="E155" s="67"/>
      <c r="F155" s="67"/>
      <c r="G155" s="87">
        <f>G156+G157</f>
        <v>7555</v>
      </c>
      <c r="H155" s="87">
        <f>H156+H157</f>
        <v>4160.9104629660997</v>
      </c>
      <c r="I155" s="87">
        <f t="shared" ref="I155:O155" si="335">I156+I157</f>
        <v>129655</v>
      </c>
      <c r="J155" s="69">
        <f t="shared" si="335"/>
        <v>73984.600000000006</v>
      </c>
      <c r="K155" s="69">
        <f t="shared" si="335"/>
        <v>2713.5999999999999</v>
      </c>
      <c r="L155" s="69">
        <f t="shared" si="335"/>
        <v>8220</v>
      </c>
      <c r="M155" s="69">
        <f t="shared" si="335"/>
        <v>40135.800000000003</v>
      </c>
      <c r="N155" s="69">
        <f t="shared" si="335"/>
        <v>22915.200000000001</v>
      </c>
      <c r="O155" s="69">
        <f t="shared" si="335"/>
        <v>0</v>
      </c>
      <c r="P155" s="69">
        <v>19292</v>
      </c>
      <c r="Q155" s="69">
        <f t="shared" ref="Q155:W155" si="336">Q156+Q157</f>
        <v>17938</v>
      </c>
      <c r="R155" s="69">
        <f t="shared" si="336"/>
        <v>14139.6</v>
      </c>
      <c r="S155" s="69">
        <f t="shared" si="336"/>
        <v>210.80000000000001</v>
      </c>
      <c r="T155" s="69">
        <f t="shared" si="336"/>
        <v>0</v>
      </c>
      <c r="U155" s="69">
        <f t="shared" si="336"/>
        <v>13928.799999999999</v>
      </c>
      <c r="V155" s="69">
        <f t="shared" si="336"/>
        <v>0</v>
      </c>
      <c r="W155" s="69">
        <f t="shared" si="336"/>
        <v>1501.15886803732</v>
      </c>
      <c r="X155" s="88"/>
      <c r="Y155" s="89">
        <f t="shared" ref="Y155:AI155" si="337">Y156+Y157</f>
        <v>0.76404919583727504</v>
      </c>
      <c r="Z155" s="69">
        <f t="shared" si="337"/>
        <v>1900.45594781515</v>
      </c>
      <c r="AA155" s="69">
        <v>57</v>
      </c>
      <c r="AB155" s="69">
        <f t="shared" si="337"/>
        <v>41583.058823529398</v>
      </c>
      <c r="AC155" s="69">
        <f t="shared" si="337"/>
        <v>41583.058823529398</v>
      </c>
      <c r="AD155" s="90">
        <f t="shared" si="337"/>
        <v>63051</v>
      </c>
      <c r="AE155" s="69">
        <f t="shared" si="337"/>
        <v>0</v>
      </c>
      <c r="AF155" s="87">
        <f t="shared" si="337"/>
        <v>0</v>
      </c>
      <c r="AG155" s="87">
        <f t="shared" si="337"/>
        <v>4</v>
      </c>
      <c r="AH155" s="87">
        <f t="shared" si="337"/>
        <v>0</v>
      </c>
      <c r="AI155" s="69">
        <f t="shared" si="337"/>
        <v>2000</v>
      </c>
      <c r="AJ155" s="89"/>
      <c r="AK155" s="69" t="e">
        <f t="shared" ref="AK155:AO155" si="338">AK156+AK157</f>
        <v>#REF!</v>
      </c>
      <c r="AL155" s="90">
        <f t="shared" si="338"/>
        <v>455.63999999999999</v>
      </c>
      <c r="AM155" s="69">
        <f t="shared" si="338"/>
        <v>302.684746344818</v>
      </c>
      <c r="AN155" s="87" t="e">
        <f t="shared" si="338"/>
        <v>#REF!</v>
      </c>
      <c r="AO155" s="87" t="e">
        <f t="shared" si="338"/>
        <v>#REF!</v>
      </c>
      <c r="AP155" s="42" t="e">
        <f t="shared" si="304"/>
        <v>#REF!</v>
      </c>
      <c r="AQ155" s="89" t="e">
        <f>AQ156+AQ157</f>
        <v>#REF!</v>
      </c>
      <c r="AR155" s="43" t="e">
        <f t="shared" si="305"/>
        <v>#REF!</v>
      </c>
      <c r="AS155" s="5"/>
      <c r="AT155" s="5"/>
      <c r="AU155" s="5"/>
      <c r="AV155" s="5"/>
      <c r="AW155" s="5"/>
      <c r="AX155" s="5"/>
      <c r="AY155" s="5"/>
      <c r="AZ155" s="5" t="s">
        <v>218</v>
      </c>
      <c r="BA155" s="5">
        <v>0</v>
      </c>
      <c r="BB155" s="5"/>
      <c r="BC155" s="5"/>
      <c r="BD155" s="5"/>
      <c r="BE155" s="5"/>
      <c r="BF155" s="5"/>
      <c r="BG155" s="5"/>
      <c r="BH155" s="5"/>
      <c r="BI155" s="5"/>
      <c r="BJ155" s="5"/>
      <c r="BK155" s="5"/>
      <c r="BL155" s="5"/>
      <c r="BM155" s="5"/>
      <c r="BN155" s="5"/>
      <c r="BO155" s="5"/>
      <c r="BP155" s="5"/>
      <c r="BQ155" s="5"/>
      <c r="BR155" s="5"/>
      <c r="BS155" s="5"/>
      <c r="BT155" s="5"/>
      <c r="BU155" s="5"/>
      <c r="BV155" s="5"/>
      <c r="BW155" s="5"/>
    </row>
    <row r="156" ht="17" customHeight="1">
      <c r="A156" s="44"/>
      <c r="B156" s="72" t="s">
        <v>198</v>
      </c>
      <c r="C156" s="46">
        <v>2</v>
      </c>
      <c r="D156" s="46"/>
      <c r="E156" s="46"/>
      <c r="F156" s="46"/>
      <c r="G156" s="73"/>
      <c r="H156" s="73"/>
      <c r="I156" s="73"/>
      <c r="J156" s="59">
        <f t="shared" ref="J156:J162" si="339">SUM(K156:O156)</f>
        <v>0</v>
      </c>
      <c r="K156" s="59">
        <f t="shared" ref="K156:K162" si="340">IF(D156="",I156*0.2,0)</f>
        <v>0</v>
      </c>
      <c r="L156" s="59">
        <f t="shared" ref="L156:L162" si="341">IF(D156=2017,I156*0.4,0)</f>
        <v>0</v>
      </c>
      <c r="M156" s="59">
        <f t="shared" ref="M156:M162" si="342">IF(D156=2018,I156*0.6,0)</f>
        <v>0</v>
      </c>
      <c r="N156" s="59">
        <f t="shared" ref="N156:N162" si="343">IF(D156=2019,I156*0.8,0)</f>
        <v>0</v>
      </c>
      <c r="O156" s="59">
        <f t="shared" ref="O156:O162" si="344">IF(D156=2020,I156*1,0)</f>
        <v>0</v>
      </c>
      <c r="P156" s="59"/>
      <c r="Q156" s="59"/>
      <c r="R156" s="59">
        <f>N156*0.4+O156*0.6+P156*0.8+Q156*1</f>
        <v>0</v>
      </c>
      <c r="S156" s="59">
        <f>Q156-T156-U156-V156</f>
        <v>0</v>
      </c>
      <c r="T156" s="59"/>
      <c r="U156" s="59"/>
      <c r="V156" s="59"/>
      <c r="W156" s="59"/>
      <c r="X156" s="61"/>
      <c r="Y156" s="62"/>
      <c r="Z156" s="59"/>
      <c r="AA156" s="59"/>
      <c r="AB156" s="59"/>
      <c r="AC156" s="59"/>
      <c r="AD156" s="61"/>
      <c r="AE156" s="59"/>
      <c r="AF156" s="59"/>
      <c r="AG156" s="59"/>
      <c r="AH156" s="59"/>
      <c r="AI156" s="59"/>
      <c r="AJ156" s="62"/>
      <c r="AK156" s="59" t="e">
        <f>AJ156/$AJ$9*0.05*200000</f>
        <v>#REF!</v>
      </c>
      <c r="AL156" s="61"/>
      <c r="AM156" s="59">
        <f>(AL156/$AL$9)*0.05*200000</f>
        <v>0</v>
      </c>
      <c r="AN156" s="53" t="e">
        <f>ROUND(AM156+AK156+AE156+AC156+Z156+W156,0)</f>
        <v>#REF!</v>
      </c>
      <c r="AO156" s="53" t="e">
        <f t="shared" ref="AO156:AO162" si="345">AN156-G156</f>
        <v>#REF!</v>
      </c>
      <c r="AP156" s="42"/>
      <c r="AQ156" s="62" t="e">
        <f t="shared" ref="AQ156:AQ162" si="346">AN156-H156</f>
        <v>#REF!</v>
      </c>
      <c r="AR156" s="43"/>
      <c r="AZ156" s="5" t="s">
        <v>219</v>
      </c>
      <c r="BA156" s="5">
        <v>9697</v>
      </c>
    </row>
    <row r="157" s="74" customFormat="1" ht="17" customHeight="1">
      <c r="A157" s="75"/>
      <c r="B157" s="76" t="s">
        <v>76</v>
      </c>
      <c r="C157" s="77">
        <v>3</v>
      </c>
      <c r="D157" s="77"/>
      <c r="E157" s="77"/>
      <c r="F157" s="77"/>
      <c r="G157" s="91">
        <f>SUM(G158:G162)</f>
        <v>7555</v>
      </c>
      <c r="H157" s="91">
        <f>SUM(H158:H162)</f>
        <v>4160.9104629660997</v>
      </c>
      <c r="I157" s="91">
        <f t="shared" ref="I157:O157" si="347">SUM(I158:I162)</f>
        <v>129655</v>
      </c>
      <c r="J157" s="79">
        <f t="shared" si="347"/>
        <v>73984.600000000006</v>
      </c>
      <c r="K157" s="79">
        <f t="shared" si="347"/>
        <v>2713.5999999999999</v>
      </c>
      <c r="L157" s="79">
        <f t="shared" si="347"/>
        <v>8220</v>
      </c>
      <c r="M157" s="79">
        <f t="shared" si="347"/>
        <v>40135.800000000003</v>
      </c>
      <c r="N157" s="79">
        <f t="shared" si="347"/>
        <v>22915.200000000001</v>
      </c>
      <c r="O157" s="79">
        <f t="shared" si="347"/>
        <v>0</v>
      </c>
      <c r="P157" s="79">
        <v>19292</v>
      </c>
      <c r="Q157" s="79">
        <f t="shared" ref="Q157:W157" si="348">SUM(Q158:Q162)</f>
        <v>17938</v>
      </c>
      <c r="R157" s="79">
        <f t="shared" si="348"/>
        <v>14139.6</v>
      </c>
      <c r="S157" s="79">
        <f t="shared" si="348"/>
        <v>210.80000000000001</v>
      </c>
      <c r="T157" s="79">
        <f t="shared" si="348"/>
        <v>0</v>
      </c>
      <c r="U157" s="79">
        <f t="shared" si="348"/>
        <v>13928.799999999999</v>
      </c>
      <c r="V157" s="79">
        <f t="shared" si="348"/>
        <v>0</v>
      </c>
      <c r="W157" s="79">
        <f t="shared" si="348"/>
        <v>1501.15886803732</v>
      </c>
      <c r="X157" s="92"/>
      <c r="Y157" s="93">
        <f t="shared" ref="Y157:AI157" si="349">SUM(Y158:Y162)</f>
        <v>0.76404919583727504</v>
      </c>
      <c r="Z157" s="79">
        <f t="shared" si="349"/>
        <v>1900.45594781515</v>
      </c>
      <c r="AA157" s="79">
        <v>57</v>
      </c>
      <c r="AB157" s="79">
        <f t="shared" si="349"/>
        <v>41583.058823529398</v>
      </c>
      <c r="AC157" s="79">
        <f t="shared" si="349"/>
        <v>41583.058823529398</v>
      </c>
      <c r="AD157" s="94">
        <f t="shared" si="349"/>
        <v>63051</v>
      </c>
      <c r="AE157" s="79">
        <f t="shared" si="349"/>
        <v>0</v>
      </c>
      <c r="AF157" s="91">
        <f t="shared" si="349"/>
        <v>0</v>
      </c>
      <c r="AG157" s="91">
        <f t="shared" si="349"/>
        <v>4</v>
      </c>
      <c r="AH157" s="91">
        <f t="shared" si="349"/>
        <v>0</v>
      </c>
      <c r="AI157" s="79">
        <f t="shared" si="349"/>
        <v>2000</v>
      </c>
      <c r="AJ157" s="93"/>
      <c r="AK157" s="79" t="e">
        <f t="shared" ref="AK157:AO157" si="350">SUM(AK158:AK162)</f>
        <v>#REF!</v>
      </c>
      <c r="AL157" s="94">
        <f t="shared" si="350"/>
        <v>455.63999999999999</v>
      </c>
      <c r="AM157" s="79">
        <f t="shared" si="350"/>
        <v>302.684746344818</v>
      </c>
      <c r="AN157" s="91" t="e">
        <f t="shared" si="350"/>
        <v>#REF!</v>
      </c>
      <c r="AO157" s="91" t="e">
        <f t="shared" si="350"/>
        <v>#REF!</v>
      </c>
      <c r="AP157" s="42" t="e">
        <f t="shared" si="304"/>
        <v>#REF!</v>
      </c>
      <c r="AQ157" s="93" t="e">
        <f>SUM(AQ158:AQ162)</f>
        <v>#REF!</v>
      </c>
      <c r="AR157" s="43" t="e">
        <f t="shared" si="305"/>
        <v>#REF!</v>
      </c>
      <c r="AS157" s="5"/>
      <c r="AT157" s="5"/>
      <c r="AU157" s="5"/>
      <c r="AV157" s="5"/>
      <c r="AW157" s="5"/>
      <c r="AX157" s="5"/>
      <c r="AY157" s="5"/>
      <c r="AZ157" s="5" t="s">
        <v>220</v>
      </c>
      <c r="BA157" s="5">
        <v>5659</v>
      </c>
      <c r="BB157" s="5"/>
      <c r="BC157" s="5"/>
      <c r="BD157" s="5"/>
      <c r="BE157" s="5"/>
      <c r="BF157" s="5"/>
      <c r="BG157" s="5"/>
      <c r="BH157" s="5"/>
      <c r="BI157" s="5"/>
      <c r="BJ157" s="5"/>
      <c r="BK157" s="5"/>
      <c r="BL157" s="5"/>
      <c r="BM157" s="5"/>
      <c r="BN157" s="5"/>
      <c r="BO157" s="5"/>
      <c r="BP157" s="5"/>
      <c r="BQ157" s="5"/>
      <c r="BR157" s="5"/>
      <c r="BS157" s="5"/>
      <c r="BT157" s="5"/>
      <c r="BU157" s="5"/>
      <c r="BV157" s="5"/>
      <c r="BW157" s="5"/>
    </row>
    <row r="158" ht="17" customHeight="1">
      <c r="A158" s="46">
        <v>105</v>
      </c>
      <c r="B158" s="82" t="s">
        <v>200</v>
      </c>
      <c r="C158" s="46" t="s">
        <v>90</v>
      </c>
      <c r="D158" s="46">
        <v>2017</v>
      </c>
      <c r="E158" s="46"/>
      <c r="F158" s="46" t="s">
        <v>146</v>
      </c>
      <c r="G158" s="73">
        <f t="shared" ref="G158:G162" si="351">VLOOKUP(B:B,$AZ:$BA,2,0)</f>
        <v>46</v>
      </c>
      <c r="H158" s="73">
        <f t="shared" ref="H158:H162" si="352">G158*210000/381298.76</f>
        <v>25.3344647645851</v>
      </c>
      <c r="I158" s="73">
        <v>20550</v>
      </c>
      <c r="J158" s="59">
        <f t="shared" si="339"/>
        <v>8220</v>
      </c>
      <c r="K158" s="59">
        <f t="shared" si="340"/>
        <v>0</v>
      </c>
      <c r="L158" s="59">
        <f t="shared" si="341"/>
        <v>8220</v>
      </c>
      <c r="M158" s="59">
        <f t="shared" si="342"/>
        <v>0</v>
      </c>
      <c r="N158" s="59">
        <f t="shared" si="343"/>
        <v>0</v>
      </c>
      <c r="O158" s="59">
        <f t="shared" si="344"/>
        <v>0</v>
      </c>
      <c r="P158" s="59">
        <v>3958</v>
      </c>
      <c r="Q158" s="59">
        <v>4796</v>
      </c>
      <c r="R158" s="59">
        <f t="shared" ref="R158:R162" si="353">S158+T158+U158+V158</f>
        <v>3836.8000000000002</v>
      </c>
      <c r="S158" s="59"/>
      <c r="T158" s="59"/>
      <c r="U158" s="59">
        <f t="shared" ref="U158:U161" si="354">Q158*0.8</f>
        <v>3836.8000000000002</v>
      </c>
      <c r="V158" s="59"/>
      <c r="W158" s="59">
        <f t="shared" ref="W158:W162" si="355">(J158/$J$9*0.2+P158/$P$9*0.05+R158/$R$9*0.05)*299423</f>
        <v>235.846262556672</v>
      </c>
      <c r="X158" s="61">
        <v>13618</v>
      </c>
      <c r="Y158" s="62">
        <f t="shared" ref="Y158:Y162" si="356">IF(X158&lt;12842,(12842-X158)/(12842-$X$175),0)</f>
        <v>0</v>
      </c>
      <c r="Z158" s="59">
        <f t="shared" ref="Z158:Z162" si="357">(Y158/$Y$9*0.15)*299423</f>
        <v>0</v>
      </c>
      <c r="AA158" s="59">
        <v>8</v>
      </c>
      <c r="AB158" s="59">
        <f>VLOOKUP(B:B,小康村到县资金!C:I,7,0)</f>
        <v>5190.5294117647099</v>
      </c>
      <c r="AC158" s="59">
        <v>5190.5294117647099</v>
      </c>
      <c r="AD158" s="61"/>
      <c r="AE158" s="59">
        <f t="shared" ref="AE158:AE162" si="358">AD158/$AD$9*71500</f>
        <v>0</v>
      </c>
      <c r="AF158" s="59"/>
      <c r="AG158" s="59"/>
      <c r="AH158" s="59"/>
      <c r="AI158" s="59">
        <v>500</v>
      </c>
      <c r="AJ158" s="62" t="e">
        <f>VLOOKUP(B:B,表6资金使用成效（12月30日）!B:L,11,0)</f>
        <v>#REF!</v>
      </c>
      <c r="AK158" s="59" t="e">
        <f t="shared" ref="AK158:AK162" si="359">AJ158/$AJ$9*0.025*299423</f>
        <v>#REF!</v>
      </c>
      <c r="AL158" s="61">
        <v>94.519999999999996</v>
      </c>
      <c r="AM158" s="59">
        <f t="shared" ref="AM158:AM162" si="360">(AL158/$AL$9)*0.025*299423</f>
        <v>62.790277904732299</v>
      </c>
      <c r="AN158" s="53" t="e">
        <f t="shared" ref="AN158:AN162" si="361">ROUND(AM158+AK158+AE158+AC158+Z158+W158+AI158+AF158,0)</f>
        <v>#REF!</v>
      </c>
      <c r="AO158" s="53" t="e">
        <f t="shared" si="345"/>
        <v>#REF!</v>
      </c>
      <c r="AP158" s="42" t="e">
        <f t="shared" si="304"/>
        <v>#REF!</v>
      </c>
      <c r="AQ158" s="59" t="e">
        <f t="shared" si="346"/>
        <v>#REF!</v>
      </c>
      <c r="AR158" s="43" t="e">
        <f t="shared" si="305"/>
        <v>#REF!</v>
      </c>
      <c r="AZ158" s="5" t="s">
        <v>221</v>
      </c>
      <c r="BA158" s="5">
        <v>8469</v>
      </c>
    </row>
    <row r="159" ht="17" customHeight="1">
      <c r="A159" s="46">
        <v>106</v>
      </c>
      <c r="B159" s="82" t="s">
        <v>201</v>
      </c>
      <c r="C159" s="46" t="s">
        <v>90</v>
      </c>
      <c r="D159" s="46">
        <v>2019</v>
      </c>
      <c r="E159" s="46" t="s">
        <v>91</v>
      </c>
      <c r="F159" s="46"/>
      <c r="G159" s="73">
        <f t="shared" si="351"/>
        <v>2176</v>
      </c>
      <c r="H159" s="73">
        <f t="shared" si="352"/>
        <v>1198.4303332116799</v>
      </c>
      <c r="I159" s="73">
        <v>28644</v>
      </c>
      <c r="J159" s="59">
        <f t="shared" si="339"/>
        <v>22915.200000000001</v>
      </c>
      <c r="K159" s="59">
        <f t="shared" si="340"/>
        <v>0</v>
      </c>
      <c r="L159" s="59">
        <f t="shared" si="341"/>
        <v>0</v>
      </c>
      <c r="M159" s="59">
        <f t="shared" si="342"/>
        <v>0</v>
      </c>
      <c r="N159" s="59">
        <f t="shared" si="343"/>
        <v>22915.200000000001</v>
      </c>
      <c r="O159" s="59">
        <f t="shared" si="344"/>
        <v>0</v>
      </c>
      <c r="P159" s="59">
        <v>4223</v>
      </c>
      <c r="Q159" s="59">
        <v>3702</v>
      </c>
      <c r="R159" s="59">
        <f t="shared" si="353"/>
        <v>2961.5999999999999</v>
      </c>
      <c r="S159" s="59"/>
      <c r="T159" s="59"/>
      <c r="U159" s="59">
        <f t="shared" si="354"/>
        <v>2961.5999999999999</v>
      </c>
      <c r="V159" s="59"/>
      <c r="W159" s="59">
        <f t="shared" si="355"/>
        <v>410.65114941253398</v>
      </c>
      <c r="X159" s="61">
        <v>10375</v>
      </c>
      <c r="Y159" s="62">
        <f t="shared" si="356"/>
        <v>0.46679280983916699</v>
      </c>
      <c r="Z159" s="59">
        <f t="shared" si="357"/>
        <v>1161.0759839673101</v>
      </c>
      <c r="AA159" s="59"/>
      <c r="AB159" s="59"/>
      <c r="AC159" s="59"/>
      <c r="AD159" s="61">
        <f t="shared" ref="AD159:AD161" si="362">J159</f>
        <v>22915.200000000001</v>
      </c>
      <c r="AE159" s="59"/>
      <c r="AF159" s="59"/>
      <c r="AG159" s="59">
        <v>4</v>
      </c>
      <c r="AH159" s="59"/>
      <c r="AI159" s="59"/>
      <c r="AJ159" s="62" t="e">
        <f>VLOOKUP(B:B,表6资金使用成效（12月30日）!B:L,11,0)</f>
        <v>#REF!</v>
      </c>
      <c r="AK159" s="59" t="e">
        <f t="shared" si="359"/>
        <v>#REF!</v>
      </c>
      <c r="AL159" s="61">
        <v>88.510000000000005</v>
      </c>
      <c r="AM159" s="59">
        <f t="shared" si="360"/>
        <v>58.797794089588002</v>
      </c>
      <c r="AN159" s="53" t="e">
        <f t="shared" si="361"/>
        <v>#REF!</v>
      </c>
      <c r="AO159" s="53" t="e">
        <f t="shared" si="345"/>
        <v>#REF!</v>
      </c>
      <c r="AP159" s="42" t="e">
        <f t="shared" si="304"/>
        <v>#REF!</v>
      </c>
      <c r="AQ159" s="59" t="e">
        <f t="shared" si="346"/>
        <v>#REF!</v>
      </c>
      <c r="AR159" s="43" t="e">
        <f t="shared" si="305"/>
        <v>#REF!</v>
      </c>
      <c r="AZ159" s="5" t="s">
        <v>222</v>
      </c>
      <c r="BA159" s="5">
        <v>14798</v>
      </c>
    </row>
    <row r="160" ht="17" customHeight="1">
      <c r="A160" s="46">
        <v>107</v>
      </c>
      <c r="B160" s="82" t="s">
        <v>202</v>
      </c>
      <c r="C160" s="46" t="s">
        <v>90</v>
      </c>
      <c r="D160" s="46">
        <v>2018</v>
      </c>
      <c r="E160" s="46" t="s">
        <v>91</v>
      </c>
      <c r="F160" s="46" t="s">
        <v>146</v>
      </c>
      <c r="G160" s="73">
        <f t="shared" si="351"/>
        <v>1169</v>
      </c>
      <c r="H160" s="73">
        <f t="shared" si="352"/>
        <v>643.82585456086997</v>
      </c>
      <c r="I160" s="73">
        <v>38110</v>
      </c>
      <c r="J160" s="59">
        <f t="shared" si="339"/>
        <v>22866</v>
      </c>
      <c r="K160" s="59">
        <f t="shared" si="340"/>
        <v>0</v>
      </c>
      <c r="L160" s="59">
        <f t="shared" si="341"/>
        <v>0</v>
      </c>
      <c r="M160" s="59">
        <f t="shared" si="342"/>
        <v>22866</v>
      </c>
      <c r="N160" s="59">
        <f t="shared" si="343"/>
        <v>0</v>
      </c>
      <c r="O160" s="59">
        <f t="shared" si="344"/>
        <v>0</v>
      </c>
      <c r="P160" s="59">
        <v>5824</v>
      </c>
      <c r="Q160" s="59">
        <v>3888</v>
      </c>
      <c r="R160" s="59">
        <f t="shared" si="353"/>
        <v>3110.4000000000001</v>
      </c>
      <c r="S160" s="59"/>
      <c r="T160" s="59"/>
      <c r="U160" s="59">
        <f t="shared" si="354"/>
        <v>3110.4000000000001</v>
      </c>
      <c r="V160" s="59"/>
      <c r="W160" s="59">
        <f t="shared" si="355"/>
        <v>441.20408092697699</v>
      </c>
      <c r="X160" s="61">
        <v>12679</v>
      </c>
      <c r="Y160" s="62">
        <f t="shared" si="356"/>
        <v>3.08420056764428e-002</v>
      </c>
      <c r="Z160" s="59">
        <f t="shared" si="357"/>
        <v>76.7147893744106</v>
      </c>
      <c r="AA160" s="59">
        <v>22</v>
      </c>
      <c r="AB160" s="59">
        <f>VLOOKUP(B:B,小康村到县资金!C:I,7,0)</f>
        <v>15369.705882352901</v>
      </c>
      <c r="AC160" s="59">
        <v>15369.705882352901</v>
      </c>
      <c r="AD160" s="61">
        <f t="shared" si="362"/>
        <v>22866</v>
      </c>
      <c r="AE160" s="59"/>
      <c r="AF160" s="59"/>
      <c r="AG160" s="59"/>
      <c r="AH160" s="59"/>
      <c r="AI160" s="59">
        <v>500</v>
      </c>
      <c r="AJ160" s="62" t="e">
        <f>VLOOKUP(B:B,表6资金使用成效（12月30日）!B:L,11,0)</f>
        <v>#REF!</v>
      </c>
      <c r="AK160" s="59" t="e">
        <f t="shared" si="359"/>
        <v>#REF!</v>
      </c>
      <c r="AL160" s="61">
        <v>89.980000000000004</v>
      </c>
      <c r="AM160" s="59">
        <f t="shared" si="360"/>
        <v>59.774325072659899</v>
      </c>
      <c r="AN160" s="53" t="e">
        <f t="shared" si="361"/>
        <v>#REF!</v>
      </c>
      <c r="AO160" s="53" t="e">
        <f t="shared" si="345"/>
        <v>#REF!</v>
      </c>
      <c r="AP160" s="42" t="e">
        <f t="shared" si="304"/>
        <v>#REF!</v>
      </c>
      <c r="AQ160" s="59" t="e">
        <f t="shared" si="346"/>
        <v>#REF!</v>
      </c>
      <c r="AR160" s="43" t="e">
        <f t="shared" si="305"/>
        <v>#REF!</v>
      </c>
      <c r="AZ160" s="5" t="s">
        <v>223</v>
      </c>
      <c r="BA160" s="5">
        <v>0</v>
      </c>
    </row>
    <row r="161" ht="17" customHeight="1">
      <c r="A161" s="46">
        <v>108</v>
      </c>
      <c r="B161" s="82" t="s">
        <v>203</v>
      </c>
      <c r="C161" s="46" t="s">
        <v>90</v>
      </c>
      <c r="D161" s="46">
        <v>2018</v>
      </c>
      <c r="E161" s="46" t="s">
        <v>91</v>
      </c>
      <c r="F161" s="46" t="s">
        <v>146</v>
      </c>
      <c r="G161" s="73">
        <f t="shared" si="351"/>
        <v>1261</v>
      </c>
      <c r="H161" s="73">
        <f t="shared" si="352"/>
        <v>694.49478409003996</v>
      </c>
      <c r="I161" s="73">
        <v>28783</v>
      </c>
      <c r="J161" s="59">
        <f t="shared" si="339"/>
        <v>17269.799999999999</v>
      </c>
      <c r="K161" s="59">
        <f t="shared" si="340"/>
        <v>0</v>
      </c>
      <c r="L161" s="59">
        <f t="shared" si="341"/>
        <v>0</v>
      </c>
      <c r="M161" s="59">
        <f t="shared" si="342"/>
        <v>17269.799999999999</v>
      </c>
      <c r="N161" s="59">
        <f t="shared" si="343"/>
        <v>0</v>
      </c>
      <c r="O161" s="59">
        <f t="shared" si="344"/>
        <v>0</v>
      </c>
      <c r="P161" s="59">
        <v>3602</v>
      </c>
      <c r="Q161" s="59">
        <v>5025</v>
      </c>
      <c r="R161" s="59">
        <f t="shared" si="353"/>
        <v>4020</v>
      </c>
      <c r="S161" s="59"/>
      <c r="T161" s="59"/>
      <c r="U161" s="59">
        <f t="shared" si="354"/>
        <v>4020</v>
      </c>
      <c r="V161" s="59"/>
      <c r="W161" s="59">
        <f t="shared" si="355"/>
        <v>345.78157864840398</v>
      </c>
      <c r="X161" s="61">
        <v>11434</v>
      </c>
      <c r="Y161" s="62">
        <f t="shared" si="356"/>
        <v>0.26641438032166498</v>
      </c>
      <c r="Z161" s="59">
        <f t="shared" si="357"/>
        <v>662.66517447343597</v>
      </c>
      <c r="AA161" s="59">
        <v>7</v>
      </c>
      <c r="AB161" s="59"/>
      <c r="AC161" s="59"/>
      <c r="AD161" s="61">
        <f t="shared" si="362"/>
        <v>17269.799999999999</v>
      </c>
      <c r="AE161" s="59"/>
      <c r="AF161" s="59"/>
      <c r="AG161" s="59"/>
      <c r="AH161" s="59"/>
      <c r="AI161" s="59">
        <v>500</v>
      </c>
      <c r="AJ161" s="62" t="e">
        <f>VLOOKUP(B:B,表6资金使用成效（12月30日）!B:L,11,0)</f>
        <v>#REF!</v>
      </c>
      <c r="AK161" s="59" t="e">
        <f t="shared" si="359"/>
        <v>#REF!</v>
      </c>
      <c r="AL161" s="61">
        <v>92.069999999999993</v>
      </c>
      <c r="AM161" s="59">
        <f t="shared" si="360"/>
        <v>61.162726266279101</v>
      </c>
      <c r="AN161" s="53" t="e">
        <f t="shared" si="361"/>
        <v>#REF!</v>
      </c>
      <c r="AO161" s="53" t="e">
        <f t="shared" si="345"/>
        <v>#REF!</v>
      </c>
      <c r="AP161" s="42" t="e">
        <f t="shared" si="304"/>
        <v>#REF!</v>
      </c>
      <c r="AQ161" s="59" t="e">
        <f t="shared" si="346"/>
        <v>#REF!</v>
      </c>
      <c r="AR161" s="43" t="e">
        <f t="shared" si="305"/>
        <v>#REF!</v>
      </c>
      <c r="AZ161" s="5" t="s">
        <v>224</v>
      </c>
      <c r="BA161" s="5">
        <v>2095</v>
      </c>
    </row>
    <row r="162" ht="17" customHeight="1">
      <c r="A162" s="46">
        <v>109</v>
      </c>
      <c r="B162" s="82" t="s">
        <v>199</v>
      </c>
      <c r="C162" s="46" t="s">
        <v>78</v>
      </c>
      <c r="D162" s="46"/>
      <c r="E162" s="46"/>
      <c r="F162" s="46" t="s">
        <v>146</v>
      </c>
      <c r="G162" s="73">
        <f t="shared" si="351"/>
        <v>2903</v>
      </c>
      <c r="H162" s="73">
        <f t="shared" si="352"/>
        <v>1598.82502633893</v>
      </c>
      <c r="I162" s="73">
        <v>13568</v>
      </c>
      <c r="J162" s="59">
        <f t="shared" si="339"/>
        <v>2713.5999999999999</v>
      </c>
      <c r="K162" s="59">
        <f t="shared" si="340"/>
        <v>2713.5999999999999</v>
      </c>
      <c r="L162" s="59">
        <f t="shared" si="341"/>
        <v>0</v>
      </c>
      <c r="M162" s="59">
        <f t="shared" si="342"/>
        <v>0</v>
      </c>
      <c r="N162" s="59">
        <f t="shared" si="343"/>
        <v>0</v>
      </c>
      <c r="O162" s="59">
        <f t="shared" si="344"/>
        <v>0</v>
      </c>
      <c r="P162" s="59">
        <v>1685</v>
      </c>
      <c r="Q162" s="59">
        <v>527</v>
      </c>
      <c r="R162" s="59">
        <f t="shared" si="353"/>
        <v>210.80000000000001</v>
      </c>
      <c r="S162" s="59">
        <f>Q162*0.4</f>
        <v>210.80000000000001</v>
      </c>
      <c r="T162" s="59"/>
      <c r="U162" s="59"/>
      <c r="V162" s="59"/>
      <c r="W162" s="59">
        <f t="shared" si="355"/>
        <v>67.675796492732204</v>
      </c>
      <c r="X162" s="61">
        <v>13955</v>
      </c>
      <c r="Y162" s="62">
        <f t="shared" si="356"/>
        <v>0</v>
      </c>
      <c r="Z162" s="59">
        <f t="shared" si="357"/>
        <v>0</v>
      </c>
      <c r="AA162" s="59">
        <v>20</v>
      </c>
      <c r="AB162" s="59">
        <f>VLOOKUP(B:B,小康村到县资金!C:I,7,0)</f>
        <v>21022.823529411799</v>
      </c>
      <c r="AC162" s="59">
        <v>21022.823529411799</v>
      </c>
      <c r="AD162" s="61"/>
      <c r="AE162" s="59">
        <f t="shared" si="358"/>
        <v>0</v>
      </c>
      <c r="AF162" s="59"/>
      <c r="AG162" s="59"/>
      <c r="AH162" s="59">
        <f>AG162/$AG$13*9347</f>
        <v>0</v>
      </c>
      <c r="AI162" s="59">
        <v>500</v>
      </c>
      <c r="AJ162" s="62" t="e">
        <f>VLOOKUP(B:B,表6资金使用成效（12月30日）!B:L,11,0)</f>
        <v>#REF!</v>
      </c>
      <c r="AK162" s="59" t="e">
        <f t="shared" si="359"/>
        <v>#REF!</v>
      </c>
      <c r="AL162" s="61">
        <v>90.560000000000002</v>
      </c>
      <c r="AM162" s="59">
        <f t="shared" si="360"/>
        <v>60.159623011558999</v>
      </c>
      <c r="AN162" s="53" t="e">
        <f t="shared" si="361"/>
        <v>#REF!</v>
      </c>
      <c r="AO162" s="53" t="e">
        <f t="shared" si="345"/>
        <v>#REF!</v>
      </c>
      <c r="AP162" s="42" t="e">
        <f t="shared" si="304"/>
        <v>#REF!</v>
      </c>
      <c r="AQ162" s="59" t="e">
        <f t="shared" si="346"/>
        <v>#REF!</v>
      </c>
      <c r="AR162" s="43" t="e">
        <f t="shared" si="305"/>
        <v>#REF!</v>
      </c>
      <c r="AZ162" s="5" t="s">
        <v>225</v>
      </c>
      <c r="BA162" s="5">
        <v>1728</v>
      </c>
    </row>
    <row r="163" s="64" customFormat="1" ht="17" customHeight="1">
      <c r="A163" s="65"/>
      <c r="B163" s="66" t="s">
        <v>204</v>
      </c>
      <c r="C163" s="67">
        <v>1</v>
      </c>
      <c r="D163" s="67"/>
      <c r="E163" s="67"/>
      <c r="F163" s="67"/>
      <c r="G163" s="87">
        <f>G164+G165</f>
        <v>7062</v>
      </c>
      <c r="H163" s="87">
        <f>H164+H165</f>
        <v>3889.39109059783</v>
      </c>
      <c r="I163" s="87">
        <f t="shared" ref="I163:O163" si="363">I164+I165</f>
        <v>163512</v>
      </c>
      <c r="J163" s="69">
        <f t="shared" si="363"/>
        <v>129400.2</v>
      </c>
      <c r="K163" s="69">
        <f t="shared" si="363"/>
        <v>3447.5999999999999</v>
      </c>
      <c r="L163" s="69">
        <f t="shared" si="363"/>
        <v>5837.1999999999998</v>
      </c>
      <c r="M163" s="69">
        <f t="shared" si="363"/>
        <v>0</v>
      </c>
      <c r="N163" s="69">
        <f t="shared" si="363"/>
        <v>46262.400000000001</v>
      </c>
      <c r="O163" s="69">
        <f t="shared" si="363"/>
        <v>73853</v>
      </c>
      <c r="P163" s="69">
        <v>25542</v>
      </c>
      <c r="Q163" s="69">
        <f t="shared" ref="Q163:W163" si="364">Q164+Q165</f>
        <v>24965</v>
      </c>
      <c r="R163" s="69">
        <f t="shared" si="364"/>
        <v>22956.799999999999</v>
      </c>
      <c r="S163" s="69">
        <f t="shared" si="364"/>
        <v>368.39999999999998</v>
      </c>
      <c r="T163" s="69">
        <f t="shared" si="364"/>
        <v>2183.4000000000001</v>
      </c>
      <c r="U163" s="69">
        <f t="shared" si="364"/>
        <v>0</v>
      </c>
      <c r="V163" s="69">
        <f t="shared" si="364"/>
        <v>20405</v>
      </c>
      <c r="W163" s="69">
        <f t="shared" si="364"/>
        <v>2449.6370452841602</v>
      </c>
      <c r="X163" s="88"/>
      <c r="Y163" s="89">
        <f t="shared" ref="Y163:AI163" si="365">Y164+Y165</f>
        <v>0.73226111636707703</v>
      </c>
      <c r="Z163" s="69">
        <f t="shared" si="365"/>
        <v>1821.38794404275</v>
      </c>
      <c r="AA163" s="69">
        <v>0</v>
      </c>
      <c r="AB163" s="69">
        <f t="shared" si="365"/>
        <v>0</v>
      </c>
      <c r="AC163" s="69">
        <f t="shared" si="365"/>
        <v>0</v>
      </c>
      <c r="AD163" s="90">
        <f t="shared" si="365"/>
        <v>120115.39999999999</v>
      </c>
      <c r="AE163" s="69">
        <f t="shared" si="365"/>
        <v>0</v>
      </c>
      <c r="AF163" s="87">
        <f t="shared" si="365"/>
        <v>0</v>
      </c>
      <c r="AG163" s="87">
        <f t="shared" si="365"/>
        <v>23</v>
      </c>
      <c r="AH163" s="87">
        <f t="shared" si="365"/>
        <v>387.84232365145198</v>
      </c>
      <c r="AI163" s="69">
        <f t="shared" si="365"/>
        <v>1000</v>
      </c>
      <c r="AJ163" s="89"/>
      <c r="AK163" s="69" t="e">
        <f t="shared" ref="AK163:AO163" si="366">AK164+AK165</f>
        <v>#REF!</v>
      </c>
      <c r="AL163" s="90">
        <f t="shared" si="366"/>
        <v>450.44</v>
      </c>
      <c r="AM163" s="69">
        <f t="shared" si="366"/>
        <v>299.23035103055003</v>
      </c>
      <c r="AN163" s="87" t="e">
        <f t="shared" si="366"/>
        <v>#REF!</v>
      </c>
      <c r="AO163" s="87" t="e">
        <f t="shared" si="366"/>
        <v>#REF!</v>
      </c>
      <c r="AP163" s="42" t="e">
        <f t="shared" si="304"/>
        <v>#REF!</v>
      </c>
      <c r="AQ163" s="89" t="e">
        <f>AQ164+AQ165</f>
        <v>#REF!</v>
      </c>
      <c r="AR163" s="43" t="e">
        <f t="shared" si="305"/>
        <v>#REF!</v>
      </c>
      <c r="AS163" s="5"/>
      <c r="AT163" s="5"/>
      <c r="AU163" s="5"/>
      <c r="AV163" s="5"/>
      <c r="AW163" s="5"/>
      <c r="AX163" s="5"/>
      <c r="AY163" s="5"/>
      <c r="AZ163" s="5" t="s">
        <v>226</v>
      </c>
      <c r="BA163" s="5">
        <v>707</v>
      </c>
      <c r="BB163" s="5"/>
      <c r="BC163" s="5"/>
      <c r="BD163" s="5"/>
      <c r="BE163" s="5"/>
      <c r="BF163" s="5"/>
      <c r="BG163" s="5"/>
      <c r="BH163" s="5"/>
      <c r="BI163" s="5"/>
      <c r="BJ163" s="5"/>
      <c r="BK163" s="5"/>
      <c r="BL163" s="5"/>
      <c r="BM163" s="5"/>
      <c r="BN163" s="5"/>
      <c r="BO163" s="5"/>
      <c r="BP163" s="5"/>
      <c r="BQ163" s="5"/>
      <c r="BR163" s="5"/>
      <c r="BS163" s="5"/>
      <c r="BT163" s="5"/>
      <c r="BU163" s="5"/>
      <c r="BV163" s="5"/>
      <c r="BW163" s="5"/>
    </row>
    <row r="164" ht="17" customHeight="1">
      <c r="A164" s="44"/>
      <c r="B164" s="72" t="s">
        <v>205</v>
      </c>
      <c r="C164" s="46">
        <v>2</v>
      </c>
      <c r="D164" s="46"/>
      <c r="E164" s="46"/>
      <c r="F164" s="46"/>
      <c r="G164" s="73"/>
      <c r="H164" s="73"/>
      <c r="I164" s="73"/>
      <c r="J164" s="59">
        <f t="shared" ref="J164:J170" si="367">SUM(K164:O164)</f>
        <v>0</v>
      </c>
      <c r="K164" s="59">
        <f t="shared" ref="K164:K170" si="368">IF(D164="",I164*0.2,0)</f>
        <v>0</v>
      </c>
      <c r="L164" s="59">
        <f t="shared" ref="L164:L170" si="369">IF(D164=2017,I164*0.4,0)</f>
        <v>0</v>
      </c>
      <c r="M164" s="59">
        <f t="shared" ref="M164:M170" si="370">IF(D164=2018,I164*0.6,0)</f>
        <v>0</v>
      </c>
      <c r="N164" s="59">
        <f t="shared" ref="N164:N170" si="371">IF(D164=2019,I164*0.8,0)</f>
        <v>0</v>
      </c>
      <c r="O164" s="59">
        <f t="shared" ref="O164:O170" si="372">IF(D164=2020,I164*1,0)</f>
        <v>0</v>
      </c>
      <c r="P164" s="59"/>
      <c r="Q164" s="59"/>
      <c r="R164" s="59">
        <f>N164*0.4+O164*0.6+P164*0.8+Q164*1</f>
        <v>0</v>
      </c>
      <c r="S164" s="59">
        <f>Q164-T164-U164-V164</f>
        <v>0</v>
      </c>
      <c r="T164" s="59"/>
      <c r="U164" s="59"/>
      <c r="V164" s="59"/>
      <c r="W164" s="59"/>
      <c r="X164" s="61"/>
      <c r="Y164" s="62"/>
      <c r="Z164" s="59"/>
      <c r="AA164" s="59"/>
      <c r="AB164" s="59"/>
      <c r="AC164" s="59"/>
      <c r="AD164" s="61"/>
      <c r="AE164" s="59"/>
      <c r="AF164" s="59"/>
      <c r="AG164" s="59"/>
      <c r="AH164" s="59"/>
      <c r="AI164" s="59"/>
      <c r="AJ164" s="62"/>
      <c r="AK164" s="59" t="e">
        <f>AJ164/$AJ$9*0.05*200000</f>
        <v>#REF!</v>
      </c>
      <c r="AL164" s="61"/>
      <c r="AM164" s="59">
        <f>(AL164/$AL$9)*0.05*200000</f>
        <v>0</v>
      </c>
      <c r="AN164" s="53" t="e">
        <f>ROUND(AM164+AK164+AE164+AC164+Z164+W164,0)</f>
        <v>#REF!</v>
      </c>
      <c r="AO164" s="53" t="e">
        <f t="shared" ref="AO164:AO170" si="373">AN164-G164</f>
        <v>#REF!</v>
      </c>
      <c r="AP164" s="42" t="e">
        <f t="shared" si="304"/>
        <v>#REF!</v>
      </c>
      <c r="AQ164" s="62" t="e">
        <f t="shared" ref="AQ164:AQ170" si="374">AN164-H164</f>
        <v>#REF!</v>
      </c>
      <c r="AR164" s="43"/>
      <c r="AZ164" s="5" t="s">
        <v>227</v>
      </c>
      <c r="BA164" s="5">
        <v>1381</v>
      </c>
    </row>
    <row r="165" s="74" customFormat="1" ht="17" customHeight="1">
      <c r="A165" s="75"/>
      <c r="B165" s="76" t="s">
        <v>76</v>
      </c>
      <c r="C165" s="77">
        <v>3</v>
      </c>
      <c r="D165" s="77"/>
      <c r="E165" s="77"/>
      <c r="F165" s="77"/>
      <c r="G165" s="91">
        <f>SUM(G166:G170)</f>
        <v>7062</v>
      </c>
      <c r="H165" s="91">
        <f>SUM(H166:H170)</f>
        <v>3889.39109059783</v>
      </c>
      <c r="I165" s="91">
        <f t="shared" ref="I165:O165" si="375">SUM(I166:I170)</f>
        <v>163512</v>
      </c>
      <c r="J165" s="79">
        <f t="shared" si="375"/>
        <v>129400.2</v>
      </c>
      <c r="K165" s="79">
        <f t="shared" si="375"/>
        <v>3447.5999999999999</v>
      </c>
      <c r="L165" s="79">
        <f t="shared" si="375"/>
        <v>5837.1999999999998</v>
      </c>
      <c r="M165" s="79">
        <f t="shared" si="375"/>
        <v>0</v>
      </c>
      <c r="N165" s="79">
        <f t="shared" si="375"/>
        <v>46262.400000000001</v>
      </c>
      <c r="O165" s="79">
        <f t="shared" si="375"/>
        <v>73853</v>
      </c>
      <c r="P165" s="79">
        <v>25542</v>
      </c>
      <c r="Q165" s="79">
        <f t="shared" ref="Q165:W165" si="376">SUM(Q166:Q170)</f>
        <v>24965</v>
      </c>
      <c r="R165" s="79">
        <f t="shared" si="376"/>
        <v>22956.799999999999</v>
      </c>
      <c r="S165" s="79">
        <f t="shared" si="376"/>
        <v>368.39999999999998</v>
      </c>
      <c r="T165" s="79">
        <f t="shared" si="376"/>
        <v>2183.4000000000001</v>
      </c>
      <c r="U165" s="79">
        <f t="shared" si="376"/>
        <v>0</v>
      </c>
      <c r="V165" s="79">
        <f t="shared" si="376"/>
        <v>20405</v>
      </c>
      <c r="W165" s="79">
        <f t="shared" si="376"/>
        <v>2449.6370452841602</v>
      </c>
      <c r="X165" s="92"/>
      <c r="Y165" s="93">
        <f t="shared" ref="Y165:AI165" si="377">SUM(Y166:Y170)</f>
        <v>0.73226111636707703</v>
      </c>
      <c r="Z165" s="79">
        <f t="shared" si="377"/>
        <v>1821.38794404275</v>
      </c>
      <c r="AA165" s="79">
        <v>0</v>
      </c>
      <c r="AB165" s="79">
        <f t="shared" si="377"/>
        <v>0</v>
      </c>
      <c r="AC165" s="79">
        <f t="shared" si="377"/>
        <v>0</v>
      </c>
      <c r="AD165" s="94">
        <f t="shared" si="377"/>
        <v>120115.39999999999</v>
      </c>
      <c r="AE165" s="79">
        <f t="shared" si="377"/>
        <v>0</v>
      </c>
      <c r="AF165" s="91">
        <f t="shared" si="377"/>
        <v>0</v>
      </c>
      <c r="AG165" s="91">
        <f t="shared" si="377"/>
        <v>23</v>
      </c>
      <c r="AH165" s="91">
        <f t="shared" si="377"/>
        <v>387.84232365145198</v>
      </c>
      <c r="AI165" s="79">
        <f t="shared" si="377"/>
        <v>1000</v>
      </c>
      <c r="AJ165" s="93"/>
      <c r="AK165" s="79" t="e">
        <f t="shared" ref="AK165:AO165" si="378">SUM(AK166:AK170)</f>
        <v>#REF!</v>
      </c>
      <c r="AL165" s="94">
        <f t="shared" si="378"/>
        <v>450.44</v>
      </c>
      <c r="AM165" s="79">
        <f t="shared" si="378"/>
        <v>299.23035103055003</v>
      </c>
      <c r="AN165" s="91" t="e">
        <f t="shared" si="378"/>
        <v>#REF!</v>
      </c>
      <c r="AO165" s="91" t="e">
        <f t="shared" si="378"/>
        <v>#REF!</v>
      </c>
      <c r="AP165" s="42" t="e">
        <f t="shared" si="304"/>
        <v>#REF!</v>
      </c>
      <c r="AQ165" s="93" t="e">
        <f>SUM(AQ166:AQ170)</f>
        <v>#REF!</v>
      </c>
      <c r="AR165" s="43" t="e">
        <f t="shared" si="305"/>
        <v>#REF!</v>
      </c>
      <c r="AS165" s="5"/>
      <c r="AT165" s="5"/>
      <c r="AU165" s="5"/>
      <c r="AV165" s="5"/>
      <c r="AW165" s="5"/>
      <c r="AX165" s="5"/>
      <c r="AY165" s="5"/>
      <c r="AZ165" s="5" t="s">
        <v>228</v>
      </c>
      <c r="BA165" s="5">
        <v>2341</v>
      </c>
      <c r="BB165" s="5"/>
      <c r="BC165" s="5"/>
      <c r="BD165" s="5"/>
      <c r="BE165" s="5"/>
      <c r="BF165" s="5"/>
      <c r="BG165" s="5"/>
      <c r="BH165" s="5"/>
      <c r="BI165" s="5"/>
      <c r="BJ165" s="5"/>
      <c r="BK165" s="5"/>
      <c r="BL165" s="5"/>
      <c r="BM165" s="5"/>
      <c r="BN165" s="5"/>
      <c r="BO165" s="5"/>
      <c r="BP165" s="5"/>
      <c r="BQ165" s="5"/>
      <c r="BR165" s="5"/>
      <c r="BS165" s="5"/>
      <c r="BT165" s="5"/>
      <c r="BU165" s="5"/>
      <c r="BV165" s="5"/>
      <c r="BW165" s="5"/>
    </row>
    <row r="166" ht="17" customHeight="1">
      <c r="A166" s="46">
        <v>110</v>
      </c>
      <c r="B166" s="82" t="s">
        <v>206</v>
      </c>
      <c r="C166" s="46" t="s">
        <v>78</v>
      </c>
      <c r="D166" s="46"/>
      <c r="E166" s="46"/>
      <c r="F166" s="46"/>
      <c r="G166" s="73">
        <f t="shared" ref="G166:G170" si="379">VLOOKUP(B:B,$AZ:$BA,2,0)</f>
        <v>464</v>
      </c>
      <c r="H166" s="73">
        <f t="shared" ref="H166:H170" si="380">G166*210000/381298.76</f>
        <v>255.54764458190201</v>
      </c>
      <c r="I166" s="73">
        <v>1798</v>
      </c>
      <c r="J166" s="59">
        <f t="shared" si="367"/>
        <v>359.60000000000002</v>
      </c>
      <c r="K166" s="59">
        <f t="shared" si="368"/>
        <v>359.60000000000002</v>
      </c>
      <c r="L166" s="59">
        <f t="shared" si="369"/>
        <v>0</v>
      </c>
      <c r="M166" s="59">
        <f t="shared" si="370"/>
        <v>0</v>
      </c>
      <c r="N166" s="59">
        <f t="shared" si="371"/>
        <v>0</v>
      </c>
      <c r="O166" s="59">
        <f t="shared" si="372"/>
        <v>0</v>
      </c>
      <c r="P166" s="59">
        <v>356</v>
      </c>
      <c r="Q166" s="59">
        <v>177</v>
      </c>
      <c r="R166" s="59">
        <f t="shared" ref="R166:R170" si="381">S166+T166+U166+V166</f>
        <v>70.799999999999997</v>
      </c>
      <c r="S166" s="59">
        <f>Q166*0.4</f>
        <v>70.799999999999997</v>
      </c>
      <c r="T166" s="59"/>
      <c r="U166" s="59"/>
      <c r="V166" s="59"/>
      <c r="W166" s="59">
        <f t="shared" ref="W166:W170" si="382">(J166/$J$9*0.2+P166/$P$9*0.05+R166/$R$9*0.05)*299423</f>
        <v>12.042987455659199</v>
      </c>
      <c r="X166" s="61">
        <v>20632</v>
      </c>
      <c r="Y166" s="62">
        <f t="shared" ref="Y166:Y170" si="383">IF(X166&lt;12842,(12842-X166)/(12842-$X$175),0)</f>
        <v>0</v>
      </c>
      <c r="Z166" s="59">
        <f t="shared" ref="Z166:Z170" si="384">(Y166/$Y$9*0.15)*299423</f>
        <v>0</v>
      </c>
      <c r="AA166" s="59"/>
      <c r="AB166" s="59"/>
      <c r="AC166" s="59"/>
      <c r="AD166" s="61"/>
      <c r="AE166" s="59">
        <f t="shared" ref="AE166:AE170" si="385">AD166/$AD$9*71500</f>
        <v>0</v>
      </c>
      <c r="AF166" s="59"/>
      <c r="AG166" s="59">
        <v>5</v>
      </c>
      <c r="AH166" s="59">
        <f>AG166/$AG$13*9347</f>
        <v>193.92116182572599</v>
      </c>
      <c r="AI166" s="59"/>
      <c r="AJ166" s="62" t="e">
        <f>VLOOKUP(B:B,表6资金使用成效（12月30日）!B:L,11,0)</f>
        <v>#REF!</v>
      </c>
      <c r="AK166" s="59" t="e">
        <f t="shared" ref="AK166:AK170" si="386">AJ166/$AJ$9*0.025*299423</f>
        <v>#REF!</v>
      </c>
      <c r="AL166" s="61">
        <v>97.079999999999998</v>
      </c>
      <c r="AM166" s="59">
        <f t="shared" ref="AM166:AM170" si="387">(AL166/$AL$9)*0.025*299423</f>
        <v>64.4909032902181</v>
      </c>
      <c r="AN166" s="53" t="e">
        <f t="shared" ref="AN166:AN170" si="388">ROUND(AM166+AK166+AE166+AC166+Z166+W166+AI166+AF166,0)</f>
        <v>#REF!</v>
      </c>
      <c r="AO166" s="53" t="e">
        <f t="shared" si="373"/>
        <v>#REF!</v>
      </c>
      <c r="AP166" s="42" t="e">
        <f t="shared" si="304"/>
        <v>#REF!</v>
      </c>
      <c r="AQ166" s="59" t="e">
        <f t="shared" si="374"/>
        <v>#REF!</v>
      </c>
      <c r="AR166" s="43" t="e">
        <f t="shared" si="305"/>
        <v>#REF!</v>
      </c>
      <c r="AZ166" s="5" t="s">
        <v>229</v>
      </c>
      <c r="BA166" s="5">
        <v>1879</v>
      </c>
    </row>
    <row r="167" ht="17" customHeight="1">
      <c r="A167" s="46">
        <v>111</v>
      </c>
      <c r="B167" s="82" t="s">
        <v>208</v>
      </c>
      <c r="C167" s="46" t="s">
        <v>90</v>
      </c>
      <c r="D167" s="46">
        <v>2019</v>
      </c>
      <c r="E167" s="46" t="s">
        <v>91</v>
      </c>
      <c r="F167" s="46"/>
      <c r="G167" s="73">
        <f t="shared" si="379"/>
        <v>1546</v>
      </c>
      <c r="H167" s="73">
        <f t="shared" si="380"/>
        <v>851.45831578366494</v>
      </c>
      <c r="I167" s="73">
        <v>57828</v>
      </c>
      <c r="J167" s="59">
        <f t="shared" si="367"/>
        <v>46262.400000000001</v>
      </c>
      <c r="K167" s="59">
        <f t="shared" si="368"/>
        <v>0</v>
      </c>
      <c r="L167" s="59">
        <f t="shared" si="369"/>
        <v>0</v>
      </c>
      <c r="M167" s="59">
        <f t="shared" si="370"/>
        <v>0</v>
      </c>
      <c r="N167" s="59">
        <f t="shared" si="371"/>
        <v>46262.400000000001</v>
      </c>
      <c r="O167" s="59">
        <f t="shared" si="372"/>
        <v>0</v>
      </c>
      <c r="P167" s="59">
        <v>9793</v>
      </c>
      <c r="Q167" s="59">
        <v>2624</v>
      </c>
      <c r="R167" s="59">
        <f t="shared" si="381"/>
        <v>1574.4000000000001</v>
      </c>
      <c r="S167" s="59"/>
      <c r="T167" s="59">
        <f>Q167*0.6</f>
        <v>1574.4000000000001</v>
      </c>
      <c r="U167" s="59"/>
      <c r="V167" s="59"/>
      <c r="W167" s="59">
        <f t="shared" si="382"/>
        <v>780.97379314565796</v>
      </c>
      <c r="X167" s="61">
        <v>13174</v>
      </c>
      <c r="Y167" s="62">
        <f t="shared" si="383"/>
        <v>0</v>
      </c>
      <c r="Z167" s="59">
        <f t="shared" si="384"/>
        <v>0</v>
      </c>
      <c r="AA167" s="59"/>
      <c r="AB167" s="59"/>
      <c r="AC167" s="59"/>
      <c r="AD167" s="61">
        <f>J167</f>
        <v>46262.400000000001</v>
      </c>
      <c r="AE167" s="59"/>
      <c r="AF167" s="59"/>
      <c r="AG167" s="59">
        <v>3</v>
      </c>
      <c r="AH167" s="59"/>
      <c r="AI167" s="59"/>
      <c r="AJ167" s="62" t="e">
        <f>VLOOKUP(B:B,表6资金使用成效（12月30日）!B:L,11,0)</f>
        <v>#REF!</v>
      </c>
      <c r="AK167" s="59" t="e">
        <f t="shared" si="386"/>
        <v>#REF!</v>
      </c>
      <c r="AL167" s="61">
        <v>89.25</v>
      </c>
      <c r="AM167" s="59">
        <f t="shared" si="387"/>
        <v>59.289381115079998</v>
      </c>
      <c r="AN167" s="53" t="e">
        <f t="shared" si="388"/>
        <v>#REF!</v>
      </c>
      <c r="AO167" s="53" t="e">
        <f t="shared" si="373"/>
        <v>#REF!</v>
      </c>
      <c r="AP167" s="42" t="e">
        <f t="shared" si="304"/>
        <v>#REF!</v>
      </c>
      <c r="AQ167" s="59" t="e">
        <f t="shared" si="374"/>
        <v>#REF!</v>
      </c>
      <c r="AR167" s="43" t="e">
        <f t="shared" si="305"/>
        <v>#REF!</v>
      </c>
      <c r="AZ167" s="5" t="s">
        <v>230</v>
      </c>
      <c r="BA167" s="5">
        <v>1379</v>
      </c>
    </row>
    <row r="168" ht="17" customHeight="1">
      <c r="A168" s="46">
        <v>112</v>
      </c>
      <c r="B168" s="82" t="s">
        <v>209</v>
      </c>
      <c r="C168" s="46" t="s">
        <v>78</v>
      </c>
      <c r="D168" s="46"/>
      <c r="E168" s="46"/>
      <c r="F168" s="46"/>
      <c r="G168" s="73">
        <f t="shared" si="379"/>
        <v>2330</v>
      </c>
      <c r="H168" s="73">
        <f t="shared" si="380"/>
        <v>1283.2457152496399</v>
      </c>
      <c r="I168" s="73">
        <v>15440</v>
      </c>
      <c r="J168" s="59">
        <f t="shared" si="367"/>
        <v>3088</v>
      </c>
      <c r="K168" s="59">
        <f t="shared" si="368"/>
        <v>3088</v>
      </c>
      <c r="L168" s="59">
        <f t="shared" si="369"/>
        <v>0</v>
      </c>
      <c r="M168" s="59">
        <f t="shared" si="370"/>
        <v>0</v>
      </c>
      <c r="N168" s="59">
        <f t="shared" si="371"/>
        <v>0</v>
      </c>
      <c r="O168" s="59">
        <f t="shared" si="372"/>
        <v>0</v>
      </c>
      <c r="P168" s="59">
        <v>3589</v>
      </c>
      <c r="Q168" s="59">
        <v>744</v>
      </c>
      <c r="R168" s="59">
        <f t="shared" si="381"/>
        <v>297.60000000000002</v>
      </c>
      <c r="S168" s="59">
        <f>Q168*0.4</f>
        <v>297.60000000000002</v>
      </c>
      <c r="T168" s="59"/>
      <c r="U168" s="59"/>
      <c r="V168" s="59"/>
      <c r="W168" s="59">
        <f t="shared" si="382"/>
        <v>107.98485504218399</v>
      </c>
      <c r="X168" s="61">
        <v>14345</v>
      </c>
      <c r="Y168" s="62">
        <f t="shared" si="383"/>
        <v>0</v>
      </c>
      <c r="Z168" s="59">
        <f t="shared" si="384"/>
        <v>0</v>
      </c>
      <c r="AA168" s="59"/>
      <c r="AB168" s="59"/>
      <c r="AC168" s="59"/>
      <c r="AD168" s="61"/>
      <c r="AE168" s="59">
        <f t="shared" si="385"/>
        <v>0</v>
      </c>
      <c r="AF168" s="59"/>
      <c r="AG168" s="59">
        <v>5</v>
      </c>
      <c r="AH168" s="59">
        <f>AG168/$AG$13*9347</f>
        <v>193.92116182572599</v>
      </c>
      <c r="AI168" s="59"/>
      <c r="AJ168" s="62" t="e">
        <f>VLOOKUP(B:B,表6资金使用成效（12月30日）!B:L,11,0)</f>
        <v>#REF!</v>
      </c>
      <c r="AK168" s="59" t="e">
        <f t="shared" si="386"/>
        <v>#REF!</v>
      </c>
      <c r="AL168" s="61">
        <v>85.5</v>
      </c>
      <c r="AM168" s="59">
        <f t="shared" si="387"/>
        <v>56.7982306480598</v>
      </c>
      <c r="AN168" s="53" t="e">
        <f t="shared" si="388"/>
        <v>#REF!</v>
      </c>
      <c r="AO168" s="53" t="e">
        <f t="shared" si="373"/>
        <v>#REF!</v>
      </c>
      <c r="AP168" s="42" t="e">
        <f t="shared" si="304"/>
        <v>#REF!</v>
      </c>
      <c r="AQ168" s="59" t="e">
        <f t="shared" si="374"/>
        <v>#REF!</v>
      </c>
      <c r="AR168" s="43" t="e">
        <f t="shared" si="305"/>
        <v>#REF!</v>
      </c>
      <c r="AZ168" s="5" t="s">
        <v>231</v>
      </c>
      <c r="BA168" s="5">
        <v>3288</v>
      </c>
    </row>
    <row r="169" ht="17" customHeight="1">
      <c r="A169" s="46">
        <v>113</v>
      </c>
      <c r="B169" s="82" t="s">
        <v>210</v>
      </c>
      <c r="C169" s="46" t="s">
        <v>93</v>
      </c>
      <c r="D169" s="46">
        <v>2020</v>
      </c>
      <c r="E169" s="46" t="s">
        <v>94</v>
      </c>
      <c r="F169" s="46"/>
      <c r="G169" s="73">
        <f t="shared" si="379"/>
        <v>2415</v>
      </c>
      <c r="H169" s="73">
        <f t="shared" si="380"/>
        <v>1330.0594001407201</v>
      </c>
      <c r="I169" s="73">
        <v>73853</v>
      </c>
      <c r="J169" s="59">
        <f t="shared" si="367"/>
        <v>73853</v>
      </c>
      <c r="K169" s="59">
        <f t="shared" si="368"/>
        <v>0</v>
      </c>
      <c r="L169" s="59">
        <f t="shared" si="369"/>
        <v>0</v>
      </c>
      <c r="M169" s="59">
        <f t="shared" si="370"/>
        <v>0</v>
      </c>
      <c r="N169" s="59">
        <f t="shared" si="371"/>
        <v>0</v>
      </c>
      <c r="O169" s="59">
        <f t="shared" si="372"/>
        <v>73853</v>
      </c>
      <c r="P169" s="59">
        <v>9328</v>
      </c>
      <c r="Q169" s="59">
        <v>20405</v>
      </c>
      <c r="R169" s="59">
        <f t="shared" si="381"/>
        <v>20405</v>
      </c>
      <c r="S169" s="59"/>
      <c r="T169" s="59"/>
      <c r="U169" s="59"/>
      <c r="V169" s="59">
        <f>Q169*1</f>
        <v>20405</v>
      </c>
      <c r="W169" s="59">
        <f t="shared" si="382"/>
        <v>1421.20092468708</v>
      </c>
      <c r="X169" s="61">
        <v>8972</v>
      </c>
      <c r="Y169" s="62">
        <f t="shared" si="383"/>
        <v>0.73226111636707703</v>
      </c>
      <c r="Z169" s="59">
        <f t="shared" si="384"/>
        <v>1821.38794404275</v>
      </c>
      <c r="AA169" s="59"/>
      <c r="AB169" s="59"/>
      <c r="AC169" s="59"/>
      <c r="AD169" s="61">
        <f>J169</f>
        <v>73853</v>
      </c>
      <c r="AE169" s="59"/>
      <c r="AF169" s="59"/>
      <c r="AG169" s="59">
        <v>4</v>
      </c>
      <c r="AH169" s="59"/>
      <c r="AI169" s="59">
        <v>1000</v>
      </c>
      <c r="AJ169" s="62" t="e">
        <f>VLOOKUP(B:B,表6资金使用成效（12月30日）!B:L,11,0)</f>
        <v>#REF!</v>
      </c>
      <c r="AK169" s="59" t="e">
        <f t="shared" si="386"/>
        <v>#REF!</v>
      </c>
      <c r="AL169" s="61">
        <v>90.170000000000002</v>
      </c>
      <c r="AM169" s="59">
        <f t="shared" si="387"/>
        <v>59.900543362988898</v>
      </c>
      <c r="AN169" s="53" t="e">
        <f t="shared" si="388"/>
        <v>#REF!</v>
      </c>
      <c r="AO169" s="53" t="e">
        <f t="shared" si="373"/>
        <v>#REF!</v>
      </c>
      <c r="AP169" s="42" t="e">
        <f t="shared" si="304"/>
        <v>#REF!</v>
      </c>
      <c r="AQ169" s="59" t="e">
        <f t="shared" si="374"/>
        <v>#REF!</v>
      </c>
      <c r="AR169" s="43" t="e">
        <f t="shared" si="305"/>
        <v>#REF!</v>
      </c>
    </row>
    <row r="170" ht="17" customHeight="1">
      <c r="A170" s="46">
        <v>114</v>
      </c>
      <c r="B170" s="82" t="s">
        <v>207</v>
      </c>
      <c r="C170" s="46" t="s">
        <v>90</v>
      </c>
      <c r="D170" s="46">
        <v>2017</v>
      </c>
      <c r="E170" s="46"/>
      <c r="F170" s="46"/>
      <c r="G170" s="73">
        <f t="shared" si="379"/>
        <v>307</v>
      </c>
      <c r="H170" s="73">
        <f t="shared" si="380"/>
        <v>169.08001484190501</v>
      </c>
      <c r="I170" s="73">
        <v>14593</v>
      </c>
      <c r="J170" s="59">
        <f t="shared" si="367"/>
        <v>5837.1999999999998</v>
      </c>
      <c r="K170" s="59">
        <f t="shared" si="368"/>
        <v>0</v>
      </c>
      <c r="L170" s="59">
        <f t="shared" si="369"/>
        <v>5837.1999999999998</v>
      </c>
      <c r="M170" s="59">
        <f t="shared" si="370"/>
        <v>0</v>
      </c>
      <c r="N170" s="59">
        <f t="shared" si="371"/>
        <v>0</v>
      </c>
      <c r="O170" s="59">
        <f t="shared" si="372"/>
        <v>0</v>
      </c>
      <c r="P170" s="59">
        <v>2476</v>
      </c>
      <c r="Q170" s="59">
        <v>1015</v>
      </c>
      <c r="R170" s="59">
        <f t="shared" si="381"/>
        <v>609</v>
      </c>
      <c r="S170" s="59"/>
      <c r="T170" s="59">
        <f>Q170*0.6</f>
        <v>609</v>
      </c>
      <c r="U170" s="59"/>
      <c r="V170" s="59"/>
      <c r="W170" s="59">
        <f t="shared" si="382"/>
        <v>127.43448495358101</v>
      </c>
      <c r="X170" s="61">
        <v>13413</v>
      </c>
      <c r="Y170" s="62">
        <f t="shared" si="383"/>
        <v>0</v>
      </c>
      <c r="Z170" s="59">
        <f t="shared" si="384"/>
        <v>0</v>
      </c>
      <c r="AA170" s="59"/>
      <c r="AB170" s="59"/>
      <c r="AC170" s="59"/>
      <c r="AD170" s="61"/>
      <c r="AE170" s="59">
        <f t="shared" si="385"/>
        <v>0</v>
      </c>
      <c r="AF170" s="59"/>
      <c r="AG170" s="59">
        <v>6</v>
      </c>
      <c r="AH170" s="59"/>
      <c r="AI170" s="59"/>
      <c r="AJ170" s="62" t="e">
        <f>VLOOKUP(B:B,表6资金使用成效（12月30日）!B:L,11,0)</f>
        <v>#REF!</v>
      </c>
      <c r="AK170" s="59" t="e">
        <f t="shared" si="386"/>
        <v>#REF!</v>
      </c>
      <c r="AL170" s="61">
        <v>88.439999999999998</v>
      </c>
      <c r="AM170" s="59">
        <f t="shared" si="387"/>
        <v>58.751292614203599</v>
      </c>
      <c r="AN170" s="53" t="e">
        <f t="shared" si="388"/>
        <v>#REF!</v>
      </c>
      <c r="AO170" s="53" t="e">
        <f t="shared" si="373"/>
        <v>#REF!</v>
      </c>
      <c r="AP170" s="42" t="e">
        <f t="shared" si="304"/>
        <v>#REF!</v>
      </c>
      <c r="AQ170" s="59" t="e">
        <f t="shared" si="374"/>
        <v>#REF!</v>
      </c>
      <c r="AR170" s="43" t="e">
        <f t="shared" si="305"/>
        <v>#REF!</v>
      </c>
    </row>
    <row r="171" s="64" customFormat="1" ht="17" customHeight="1">
      <c r="A171" s="65"/>
      <c r="B171" s="66" t="s">
        <v>211</v>
      </c>
      <c r="C171" s="67">
        <v>1</v>
      </c>
      <c r="D171" s="67"/>
      <c r="E171" s="67"/>
      <c r="F171" s="67"/>
      <c r="G171" s="87">
        <f>G172+G173</f>
        <v>40553</v>
      </c>
      <c r="H171" s="87">
        <f>H172+H173</f>
        <v>22334.533686917799</v>
      </c>
      <c r="I171" s="87">
        <f t="shared" ref="I171:O171" si="389">I172+I173</f>
        <v>229768</v>
      </c>
      <c r="J171" s="69">
        <f t="shared" si="389"/>
        <v>226302.20000000001</v>
      </c>
      <c r="K171" s="69">
        <f t="shared" si="389"/>
        <v>0</v>
      </c>
      <c r="L171" s="69">
        <f t="shared" si="389"/>
        <v>0</v>
      </c>
      <c r="M171" s="69">
        <f t="shared" si="389"/>
        <v>0</v>
      </c>
      <c r="N171" s="69">
        <f t="shared" si="389"/>
        <v>13863.200000000001</v>
      </c>
      <c r="O171" s="69">
        <f t="shared" si="389"/>
        <v>212439</v>
      </c>
      <c r="P171" s="69">
        <v>35711</v>
      </c>
      <c r="Q171" s="69">
        <f t="shared" ref="Q171:W171" si="390">Q172+Q173</f>
        <v>95859</v>
      </c>
      <c r="R171" s="69">
        <f t="shared" si="390"/>
        <v>95035.199999999997</v>
      </c>
      <c r="S171" s="69">
        <f t="shared" si="390"/>
        <v>0</v>
      </c>
      <c r="T171" s="69">
        <f t="shared" si="390"/>
        <v>0</v>
      </c>
      <c r="U171" s="69">
        <f t="shared" si="390"/>
        <v>3295.1999999999998</v>
      </c>
      <c r="V171" s="69">
        <f t="shared" si="390"/>
        <v>91740</v>
      </c>
      <c r="W171" s="69">
        <f t="shared" si="390"/>
        <v>5005.9218314427899</v>
      </c>
      <c r="X171" s="88"/>
      <c r="Y171" s="89">
        <f t="shared" ref="Y171:AI171" si="391">Y172+Y173</f>
        <v>3.82913907284768</v>
      </c>
      <c r="Z171" s="69">
        <f t="shared" si="391"/>
        <v>9524.3999544168491</v>
      </c>
      <c r="AA171" s="69">
        <v>79</v>
      </c>
      <c r="AB171" s="69">
        <f t="shared" si="391"/>
        <v>0</v>
      </c>
      <c r="AC171" s="69">
        <f t="shared" si="391"/>
        <v>0</v>
      </c>
      <c r="AD171" s="90">
        <f t="shared" si="391"/>
        <v>226302.20000000001</v>
      </c>
      <c r="AE171" s="69" t="e">
        <f t="shared" si="391"/>
        <v>#REF!</v>
      </c>
      <c r="AF171" s="87">
        <f t="shared" si="391"/>
        <v>0</v>
      </c>
      <c r="AG171" s="87">
        <f t="shared" si="391"/>
        <v>3</v>
      </c>
      <c r="AH171" s="87">
        <f t="shared" si="391"/>
        <v>0</v>
      </c>
      <c r="AI171" s="69">
        <f t="shared" si="391"/>
        <v>0</v>
      </c>
      <c r="AJ171" s="89"/>
      <c r="AK171" s="69" t="e">
        <f t="shared" ref="AK171:AO171" si="392">AK172+AK173</f>
        <v>#REF!</v>
      </c>
      <c r="AL171" s="90">
        <f t="shared" si="392"/>
        <v>358.79000000000002</v>
      </c>
      <c r="AM171" s="69">
        <f t="shared" si="392"/>
        <v>238.346633616578</v>
      </c>
      <c r="AN171" s="87" t="e">
        <f t="shared" si="392"/>
        <v>#REF!</v>
      </c>
      <c r="AO171" s="87" t="e">
        <f t="shared" si="392"/>
        <v>#REF!</v>
      </c>
      <c r="AP171" s="42" t="e">
        <f t="shared" si="304"/>
        <v>#REF!</v>
      </c>
      <c r="AQ171" s="89" t="e">
        <f>AQ172+AQ173</f>
        <v>#REF!</v>
      </c>
      <c r="AR171" s="43" t="e">
        <f t="shared" si="305"/>
        <v>#REF!</v>
      </c>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row>
    <row r="172" ht="17" customHeight="1">
      <c r="A172" s="44"/>
      <c r="B172" s="72" t="s">
        <v>212</v>
      </c>
      <c r="C172" s="46">
        <v>2</v>
      </c>
      <c r="D172" s="46"/>
      <c r="E172" s="46"/>
      <c r="F172" s="46"/>
      <c r="G172" s="73"/>
      <c r="H172" s="73"/>
      <c r="I172" s="73"/>
      <c r="J172" s="59">
        <f t="shared" ref="J172:J177" si="393">SUM(K172:O172)</f>
        <v>0</v>
      </c>
      <c r="K172" s="59">
        <f t="shared" ref="K172:K177" si="394">IF(D172="",I172*0.2,0)</f>
        <v>0</v>
      </c>
      <c r="L172" s="59">
        <f t="shared" ref="L172:L177" si="395">IF(D172=2017,I172*0.4,0)</f>
        <v>0</v>
      </c>
      <c r="M172" s="59">
        <f t="shared" ref="M172:M177" si="396">IF(D172=2018,I172*0.6,0)</f>
        <v>0</v>
      </c>
      <c r="N172" s="59">
        <f t="shared" ref="N172:N177" si="397">IF(D172=2019,I172*0.8,0)</f>
        <v>0</v>
      </c>
      <c r="O172" s="59">
        <f t="shared" ref="O172:O177" si="398">IF(D172=2020,I172*1,0)</f>
        <v>0</v>
      </c>
      <c r="P172" s="59"/>
      <c r="Q172" s="59"/>
      <c r="R172" s="59">
        <f>N172*0.4+O172*0.6+P172*0.8+Q172*1</f>
        <v>0</v>
      </c>
      <c r="S172" s="59">
        <f>Q172-T172-U172-V172</f>
        <v>0</v>
      </c>
      <c r="T172" s="59"/>
      <c r="U172" s="59"/>
      <c r="V172" s="59"/>
      <c r="W172" s="59"/>
      <c r="X172" s="61"/>
      <c r="Y172" s="62"/>
      <c r="Z172" s="59"/>
      <c r="AA172" s="59"/>
      <c r="AB172" s="59"/>
      <c r="AC172" s="59"/>
      <c r="AD172" s="61"/>
      <c r="AE172" s="59"/>
      <c r="AF172" s="59"/>
      <c r="AG172" s="59"/>
      <c r="AH172" s="59"/>
      <c r="AI172" s="59"/>
      <c r="AJ172" s="62"/>
      <c r="AK172" s="59" t="e">
        <f>AJ172/$AJ$9*0.05*200000</f>
        <v>#REF!</v>
      </c>
      <c r="AL172" s="61"/>
      <c r="AM172" s="59">
        <f>(AL172/$AL$9)*0.05*200000</f>
        <v>0</v>
      </c>
      <c r="AN172" s="53" t="e">
        <f>ROUND(AM172+AK172+AE172+AC172+Z172+W172,0)</f>
        <v>#REF!</v>
      </c>
      <c r="AO172" s="53" t="e">
        <f t="shared" ref="AO172:AO177" si="399">AN172-G172</f>
        <v>#REF!</v>
      </c>
      <c r="AP172" s="42"/>
      <c r="AQ172" s="62" t="e">
        <f t="shared" ref="AQ172:AQ177" si="400">AN172-H172</f>
        <v>#REF!</v>
      </c>
      <c r="AR172" s="43"/>
    </row>
    <row r="173" s="74" customFormat="1" ht="17" customHeight="1">
      <c r="A173" s="75"/>
      <c r="B173" s="76" t="s">
        <v>76</v>
      </c>
      <c r="C173" s="77">
        <v>3</v>
      </c>
      <c r="D173" s="77"/>
      <c r="E173" s="77"/>
      <c r="F173" s="77"/>
      <c r="G173" s="91">
        <f>SUM(G174:G177)</f>
        <v>40553</v>
      </c>
      <c r="H173" s="91">
        <f>SUM(H174:H177)</f>
        <v>22334.533686917799</v>
      </c>
      <c r="I173" s="91">
        <f t="shared" ref="I173:O173" si="401">SUM(I174:I177)</f>
        <v>229768</v>
      </c>
      <c r="J173" s="79">
        <f t="shared" si="401"/>
        <v>226302.20000000001</v>
      </c>
      <c r="K173" s="79">
        <f t="shared" si="401"/>
        <v>0</v>
      </c>
      <c r="L173" s="79">
        <f t="shared" si="401"/>
        <v>0</v>
      </c>
      <c r="M173" s="79">
        <f t="shared" si="401"/>
        <v>0</v>
      </c>
      <c r="N173" s="79">
        <f t="shared" si="401"/>
        <v>13863.200000000001</v>
      </c>
      <c r="O173" s="79">
        <f t="shared" si="401"/>
        <v>212439</v>
      </c>
      <c r="P173" s="79">
        <v>35711</v>
      </c>
      <c r="Q173" s="79">
        <f t="shared" ref="Q173:W173" si="402">SUM(Q174:Q177)</f>
        <v>95859</v>
      </c>
      <c r="R173" s="79">
        <f t="shared" si="402"/>
        <v>95035.199999999997</v>
      </c>
      <c r="S173" s="79">
        <f t="shared" si="402"/>
        <v>0</v>
      </c>
      <c r="T173" s="79">
        <f t="shared" si="402"/>
        <v>0</v>
      </c>
      <c r="U173" s="79">
        <f t="shared" si="402"/>
        <v>3295.1999999999998</v>
      </c>
      <c r="V173" s="79">
        <f t="shared" si="402"/>
        <v>91740</v>
      </c>
      <c r="W173" s="79">
        <f t="shared" si="402"/>
        <v>5005.9218314427899</v>
      </c>
      <c r="X173" s="92"/>
      <c r="Y173" s="93">
        <f t="shared" ref="Y173:AI173" si="403">SUM(Y174:Y177)</f>
        <v>3.82913907284768</v>
      </c>
      <c r="Z173" s="79">
        <f t="shared" si="403"/>
        <v>9524.3999544168491</v>
      </c>
      <c r="AA173" s="79">
        <v>79</v>
      </c>
      <c r="AB173" s="79">
        <f t="shared" si="403"/>
        <v>0</v>
      </c>
      <c r="AC173" s="79">
        <f t="shared" si="403"/>
        <v>0</v>
      </c>
      <c r="AD173" s="94">
        <f t="shared" si="403"/>
        <v>226302.20000000001</v>
      </c>
      <c r="AE173" s="79" t="e">
        <f t="shared" si="403"/>
        <v>#REF!</v>
      </c>
      <c r="AF173" s="91">
        <f t="shared" si="403"/>
        <v>0</v>
      </c>
      <c r="AG173" s="91">
        <f t="shared" si="403"/>
        <v>3</v>
      </c>
      <c r="AH173" s="91">
        <f t="shared" si="403"/>
        <v>0</v>
      </c>
      <c r="AI173" s="79">
        <f t="shared" si="403"/>
        <v>0</v>
      </c>
      <c r="AJ173" s="93"/>
      <c r="AK173" s="79" t="e">
        <f t="shared" ref="AK173:AO173" si="404">SUM(AK174:AK177)</f>
        <v>#REF!</v>
      </c>
      <c r="AL173" s="95">
        <f t="shared" si="404"/>
        <v>358.79000000000002</v>
      </c>
      <c r="AM173" s="79">
        <f t="shared" si="404"/>
        <v>238.346633616578</v>
      </c>
      <c r="AN173" s="91" t="e">
        <f t="shared" si="404"/>
        <v>#REF!</v>
      </c>
      <c r="AO173" s="91" t="e">
        <f t="shared" si="404"/>
        <v>#REF!</v>
      </c>
      <c r="AP173" s="42" t="e">
        <f t="shared" si="304"/>
        <v>#REF!</v>
      </c>
      <c r="AQ173" s="93" t="e">
        <f>SUM(AQ174:AQ177)</f>
        <v>#REF!</v>
      </c>
      <c r="AR173" s="43" t="e">
        <f t="shared" si="305"/>
        <v>#REF!</v>
      </c>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row>
    <row r="174" ht="17" customHeight="1">
      <c r="A174" s="46">
        <v>115</v>
      </c>
      <c r="B174" s="82" t="s">
        <v>216</v>
      </c>
      <c r="C174" s="46" t="s">
        <v>93</v>
      </c>
      <c r="D174" s="46">
        <v>2020</v>
      </c>
      <c r="E174" s="46" t="s">
        <v>94</v>
      </c>
      <c r="F174" s="46"/>
      <c r="G174" s="73">
        <f t="shared" ref="G174:G177" si="405">VLOOKUP(B:B,$AZ:$BA,2,0)</f>
        <v>5900</v>
      </c>
      <c r="H174" s="73">
        <f t="shared" ref="H174:H177" si="406">G174*210000/381298.76</f>
        <v>3249.4204806750499</v>
      </c>
      <c r="I174" s="73">
        <v>88228</v>
      </c>
      <c r="J174" s="59">
        <f t="shared" si="393"/>
        <v>88228</v>
      </c>
      <c r="K174" s="59">
        <f t="shared" si="394"/>
        <v>0</v>
      </c>
      <c r="L174" s="59">
        <f t="shared" si="395"/>
        <v>0</v>
      </c>
      <c r="M174" s="59">
        <f t="shared" si="396"/>
        <v>0</v>
      </c>
      <c r="N174" s="59">
        <f t="shared" si="397"/>
        <v>0</v>
      </c>
      <c r="O174" s="59">
        <f t="shared" si="398"/>
        <v>88228</v>
      </c>
      <c r="P174" s="59">
        <v>13706</v>
      </c>
      <c r="Q174" s="59">
        <v>39927</v>
      </c>
      <c r="R174" s="59">
        <f t="shared" ref="R174:R177" si="407">S174+T174+U174+V174</f>
        <v>39927</v>
      </c>
      <c r="S174" s="59"/>
      <c r="T174" s="59"/>
      <c r="U174" s="59"/>
      <c r="V174" s="59">
        <f t="shared" ref="V174:V177" si="408">Q174*1</f>
        <v>39927</v>
      </c>
      <c r="W174" s="59">
        <f t="shared" ref="W174:W177" si="409">(J174/$J$9*0.2+P174/$P$9*0.05+R174/$R$9*0.05)*299423</f>
        <v>1994.0145722904599</v>
      </c>
      <c r="X174" s="61">
        <v>7920</v>
      </c>
      <c r="Y174" s="62">
        <f t="shared" ref="Y174:Y177" si="410">IF(X174&lt;12842,(12842-X174)/(12842-$X$175),0)</f>
        <v>0.93131504257332098</v>
      </c>
      <c r="Z174" s="59">
        <f t="shared" ref="Z174:Z177" si="411">(Y174/$Y$9*0.15)*299423</f>
        <v>2316.5042533794399</v>
      </c>
      <c r="AA174" s="59"/>
      <c r="AB174" s="59"/>
      <c r="AC174" s="59"/>
      <c r="AD174" s="61">
        <f t="shared" ref="AD174:AD177" si="412">J174</f>
        <v>88228</v>
      </c>
      <c r="AE174" s="59"/>
      <c r="AF174" s="59"/>
      <c r="AG174" s="59">
        <v>3</v>
      </c>
      <c r="AH174" s="59"/>
      <c r="AI174" s="59"/>
      <c r="AJ174" s="62" t="e">
        <f>VLOOKUP(B:B,表6资金使用成效（12月30日）!B:L,11,0)</f>
        <v>#REF!</v>
      </c>
      <c r="AK174" s="59" t="e">
        <f t="shared" ref="AK174:AK177" si="413">AJ174/$AJ$9*0.025*299423</f>
        <v>#REF!</v>
      </c>
      <c r="AL174" s="61">
        <v>92.049999999999997</v>
      </c>
      <c r="AM174" s="59">
        <f t="shared" ref="AM174:AM177" si="414">(AL174/$AL$9)*0.025*299423</f>
        <v>61.149440130454998</v>
      </c>
      <c r="AN174" s="53" t="e">
        <f t="shared" ref="AN174:AN177" si="415">ROUND(AM174+AK174+AE174+AC174+Z174+W174+AI174+AF174,0)</f>
        <v>#REF!</v>
      </c>
      <c r="AO174" s="53" t="e">
        <f t="shared" si="399"/>
        <v>#REF!</v>
      </c>
      <c r="AP174" s="42" t="e">
        <f t="shared" si="304"/>
        <v>#REF!</v>
      </c>
      <c r="AQ174" s="59" t="e">
        <f t="shared" si="400"/>
        <v>#REF!</v>
      </c>
      <c r="AR174" s="43" t="e">
        <f t="shared" si="305"/>
        <v>#REF!</v>
      </c>
    </row>
    <row r="175" ht="17" customHeight="1">
      <c r="A175" s="46">
        <v>116</v>
      </c>
      <c r="B175" s="82" t="s">
        <v>214</v>
      </c>
      <c r="C175" s="46" t="s">
        <v>93</v>
      </c>
      <c r="D175" s="46">
        <v>2020</v>
      </c>
      <c r="E175" s="46" t="s">
        <v>94</v>
      </c>
      <c r="F175" s="46" t="s">
        <v>146</v>
      </c>
      <c r="G175" s="73">
        <f t="shared" si="405"/>
        <v>10143</v>
      </c>
      <c r="H175" s="73">
        <f t="shared" si="406"/>
        <v>5586.2494805910201</v>
      </c>
      <c r="I175" s="73">
        <v>61052</v>
      </c>
      <c r="J175" s="59">
        <f t="shared" si="393"/>
        <v>61052</v>
      </c>
      <c r="K175" s="59">
        <f t="shared" si="394"/>
        <v>0</v>
      </c>
      <c r="L175" s="59">
        <f t="shared" si="395"/>
        <v>0</v>
      </c>
      <c r="M175" s="59">
        <f t="shared" si="396"/>
        <v>0</v>
      </c>
      <c r="N175" s="59">
        <f t="shared" si="397"/>
        <v>0</v>
      </c>
      <c r="O175" s="59">
        <f t="shared" si="398"/>
        <v>61052</v>
      </c>
      <c r="P175" s="59">
        <v>9878</v>
      </c>
      <c r="Q175" s="59">
        <v>22500</v>
      </c>
      <c r="R175" s="59">
        <f t="shared" si="407"/>
        <v>22500</v>
      </c>
      <c r="S175" s="59"/>
      <c r="T175" s="59"/>
      <c r="U175" s="59"/>
      <c r="V175" s="59">
        <f t="shared" si="408"/>
        <v>22500</v>
      </c>
      <c r="W175" s="59">
        <f t="shared" si="409"/>
        <v>1304.39831843198</v>
      </c>
      <c r="X175" s="61">
        <v>7557</v>
      </c>
      <c r="Y175" s="62">
        <f t="shared" si="410"/>
        <v>1</v>
      </c>
      <c r="Z175" s="59">
        <f t="shared" si="411"/>
        <v>2487.3476186733701</v>
      </c>
      <c r="AA175" s="59">
        <v>29</v>
      </c>
      <c r="AB175" s="59"/>
      <c r="AC175" s="59"/>
      <c r="AD175" s="61">
        <f t="shared" si="412"/>
        <v>61052</v>
      </c>
      <c r="AE175" s="59" t="e">
        <f t="shared" ref="AE175:AE177" si="416">H175-W175-Z175-AC175-AK175-AM175</f>
        <v>#REF!</v>
      </c>
      <c r="AF175" s="59"/>
      <c r="AG175" s="59"/>
      <c r="AH175" s="59"/>
      <c r="AI175" s="59"/>
      <c r="AJ175" s="62" t="e">
        <f>VLOOKUP(B:B,表6资金使用成效（12月30日）!B:L,11,0)</f>
        <v>#REF!</v>
      </c>
      <c r="AK175" s="59" t="e">
        <f t="shared" si="413"/>
        <v>#REF!</v>
      </c>
      <c r="AL175" s="61">
        <v>87.560000000000002</v>
      </c>
      <c r="AM175" s="59">
        <f t="shared" si="414"/>
        <v>58.166702637942898</v>
      </c>
      <c r="AN175" s="53" t="e">
        <f t="shared" si="415"/>
        <v>#REF!</v>
      </c>
      <c r="AO175" s="53" t="e">
        <f t="shared" si="399"/>
        <v>#REF!</v>
      </c>
      <c r="AP175" s="42" t="e">
        <f t="shared" si="304"/>
        <v>#REF!</v>
      </c>
      <c r="AQ175" s="59" t="e">
        <f t="shared" si="400"/>
        <v>#REF!</v>
      </c>
      <c r="AR175" s="43" t="e">
        <f t="shared" si="305"/>
        <v>#REF!</v>
      </c>
    </row>
    <row r="176" ht="17" customHeight="1">
      <c r="A176" s="46">
        <v>117</v>
      </c>
      <c r="B176" s="82" t="s">
        <v>215</v>
      </c>
      <c r="C176" s="46" t="s">
        <v>93</v>
      </c>
      <c r="D176" s="46">
        <v>2019</v>
      </c>
      <c r="E176" s="46" t="s">
        <v>94</v>
      </c>
      <c r="F176" s="46" t="s">
        <v>146</v>
      </c>
      <c r="G176" s="73">
        <f t="shared" si="405"/>
        <v>6688</v>
      </c>
      <c r="H176" s="73">
        <f t="shared" si="406"/>
        <v>3683.4108770770699</v>
      </c>
      <c r="I176" s="73">
        <v>17329</v>
      </c>
      <c r="J176" s="59">
        <f t="shared" si="393"/>
        <v>13863.200000000001</v>
      </c>
      <c r="K176" s="59">
        <f t="shared" si="394"/>
        <v>0</v>
      </c>
      <c r="L176" s="59">
        <f t="shared" si="395"/>
        <v>0</v>
      </c>
      <c r="M176" s="59">
        <f t="shared" si="396"/>
        <v>0</v>
      </c>
      <c r="N176" s="59">
        <f t="shared" si="397"/>
        <v>13863.200000000001</v>
      </c>
      <c r="O176" s="59">
        <f t="shared" si="398"/>
        <v>0</v>
      </c>
      <c r="P176" s="59">
        <v>2329</v>
      </c>
      <c r="Q176" s="59">
        <v>4119</v>
      </c>
      <c r="R176" s="59">
        <f t="shared" si="407"/>
        <v>3295.1999999999998</v>
      </c>
      <c r="S176" s="59"/>
      <c r="T176" s="59"/>
      <c r="U176" s="59">
        <f>Q176*0.8</f>
        <v>3295.1999999999998</v>
      </c>
      <c r="V176" s="59"/>
      <c r="W176" s="59">
        <f t="shared" si="409"/>
        <v>268.56034090205299</v>
      </c>
      <c r="X176" s="61">
        <v>7681</v>
      </c>
      <c r="Y176" s="62">
        <f t="shared" si="410"/>
        <v>0.97653736991485296</v>
      </c>
      <c r="Z176" s="59">
        <f t="shared" si="411"/>
        <v>2428.9879016032701</v>
      </c>
      <c r="AA176" s="59">
        <v>13</v>
      </c>
      <c r="AB176" s="59"/>
      <c r="AC176" s="59"/>
      <c r="AD176" s="61">
        <f t="shared" si="412"/>
        <v>13863.200000000001</v>
      </c>
      <c r="AE176" s="59" t="e">
        <f t="shared" si="416"/>
        <v>#REF!</v>
      </c>
      <c r="AF176" s="59"/>
      <c r="AG176" s="59"/>
      <c r="AH176" s="59"/>
      <c r="AI176" s="59"/>
      <c r="AJ176" s="62" t="e">
        <f>VLOOKUP(B:B,表6资金使用成效（12月30日）!B:L,11,0)</f>
        <v>#REF!</v>
      </c>
      <c r="AK176" s="59" t="e">
        <f t="shared" si="413"/>
        <v>#REF!</v>
      </c>
      <c r="AL176" s="61">
        <v>88.129999999999995</v>
      </c>
      <c r="AM176" s="59">
        <f t="shared" si="414"/>
        <v>58.545357508930003</v>
      </c>
      <c r="AN176" s="53" t="e">
        <f t="shared" si="415"/>
        <v>#REF!</v>
      </c>
      <c r="AO176" s="53" t="e">
        <f t="shared" si="399"/>
        <v>#REF!</v>
      </c>
      <c r="AP176" s="42" t="e">
        <f t="shared" si="304"/>
        <v>#REF!</v>
      </c>
      <c r="AQ176" s="59" t="e">
        <f t="shared" si="400"/>
        <v>#REF!</v>
      </c>
      <c r="AR176" s="43" t="e">
        <f t="shared" si="305"/>
        <v>#REF!</v>
      </c>
    </row>
    <row r="177" ht="17" customHeight="1">
      <c r="A177" s="46">
        <v>118</v>
      </c>
      <c r="B177" s="82" t="s">
        <v>213</v>
      </c>
      <c r="C177" s="46" t="s">
        <v>93</v>
      </c>
      <c r="D177" s="46">
        <v>2020</v>
      </c>
      <c r="E177" s="46" t="s">
        <v>94</v>
      </c>
      <c r="F177" s="46" t="s">
        <v>146</v>
      </c>
      <c r="G177" s="73">
        <f t="shared" si="405"/>
        <v>17822</v>
      </c>
      <c r="H177" s="73">
        <f t="shared" si="406"/>
        <v>9815.4528485746996</v>
      </c>
      <c r="I177" s="73">
        <v>63159</v>
      </c>
      <c r="J177" s="59">
        <f t="shared" si="393"/>
        <v>63159</v>
      </c>
      <c r="K177" s="59">
        <f t="shared" si="394"/>
        <v>0</v>
      </c>
      <c r="L177" s="59">
        <f t="shared" si="395"/>
        <v>0</v>
      </c>
      <c r="M177" s="59">
        <f t="shared" si="396"/>
        <v>0</v>
      </c>
      <c r="N177" s="59">
        <f t="shared" si="397"/>
        <v>0</v>
      </c>
      <c r="O177" s="59">
        <f t="shared" si="398"/>
        <v>63159</v>
      </c>
      <c r="P177" s="59">
        <v>9798</v>
      </c>
      <c r="Q177" s="59">
        <v>29313</v>
      </c>
      <c r="R177" s="59">
        <f t="shared" si="407"/>
        <v>29313</v>
      </c>
      <c r="S177" s="59"/>
      <c r="T177" s="59"/>
      <c r="U177" s="59"/>
      <c r="V177" s="59">
        <f t="shared" si="408"/>
        <v>29313</v>
      </c>
      <c r="W177" s="59">
        <f t="shared" si="409"/>
        <v>1438.9485998182899</v>
      </c>
      <c r="X177" s="61">
        <v>7973</v>
      </c>
      <c r="Y177" s="62">
        <f t="shared" si="410"/>
        <v>0.92128666035950801</v>
      </c>
      <c r="Z177" s="59">
        <f t="shared" si="411"/>
        <v>2291.56018076077</v>
      </c>
      <c r="AA177" s="59">
        <v>37</v>
      </c>
      <c r="AB177" s="59"/>
      <c r="AC177" s="59"/>
      <c r="AD177" s="61">
        <f t="shared" si="412"/>
        <v>63159</v>
      </c>
      <c r="AE177" s="59" t="e">
        <f t="shared" si="416"/>
        <v>#REF!</v>
      </c>
      <c r="AF177" s="59"/>
      <c r="AG177" s="59"/>
      <c r="AH177" s="59"/>
      <c r="AI177" s="59"/>
      <c r="AJ177" s="62" t="e">
        <f>VLOOKUP(B:B,表6资金使用成效（12月30日）!B:L,11,0)</f>
        <v>#REF!</v>
      </c>
      <c r="AK177" s="59" t="e">
        <f t="shared" si="413"/>
        <v>#REF!</v>
      </c>
      <c r="AL177" s="61">
        <v>91.049999999999997</v>
      </c>
      <c r="AM177" s="59">
        <f t="shared" si="414"/>
        <v>60.4851333392497</v>
      </c>
      <c r="AN177" s="53" t="e">
        <f t="shared" si="415"/>
        <v>#REF!</v>
      </c>
      <c r="AO177" s="53" t="e">
        <f t="shared" si="399"/>
        <v>#REF!</v>
      </c>
      <c r="AP177" s="42" t="e">
        <f t="shared" si="304"/>
        <v>#REF!</v>
      </c>
      <c r="AQ177" s="59" t="e">
        <f t="shared" si="400"/>
        <v>#REF!</v>
      </c>
      <c r="AR177" s="43" t="e">
        <f t="shared" si="305"/>
        <v>#REF!</v>
      </c>
    </row>
    <row r="178" s="64" customFormat="1" ht="17" customHeight="1">
      <c r="A178" s="65"/>
      <c r="B178" s="66" t="s">
        <v>217</v>
      </c>
      <c r="C178" s="67">
        <v>1</v>
      </c>
      <c r="D178" s="67"/>
      <c r="E178" s="67"/>
      <c r="F178" s="67"/>
      <c r="G178" s="87">
        <f>G179+G180</f>
        <v>23825</v>
      </c>
      <c r="H178" s="87">
        <f>H179+H180</f>
        <v>13121.600500353101</v>
      </c>
      <c r="I178" s="87">
        <f t="shared" ref="I178:O178" si="417">I179+I180</f>
        <v>68762</v>
      </c>
      <c r="J178" s="69">
        <f t="shared" si="417"/>
        <v>49317.599999999999</v>
      </c>
      <c r="K178" s="69">
        <f t="shared" si="417"/>
        <v>0</v>
      </c>
      <c r="L178" s="69">
        <f t="shared" si="417"/>
        <v>0</v>
      </c>
      <c r="M178" s="69">
        <f t="shared" si="417"/>
        <v>17076</v>
      </c>
      <c r="N178" s="69">
        <f t="shared" si="417"/>
        <v>32241.599999999999</v>
      </c>
      <c r="O178" s="69">
        <f t="shared" si="417"/>
        <v>0</v>
      </c>
      <c r="P178" s="69">
        <v>7003</v>
      </c>
      <c r="Q178" s="69">
        <f t="shared" ref="Q178:W178" si="418">Q179+Q180</f>
        <v>10729</v>
      </c>
      <c r="R178" s="69">
        <f t="shared" si="418"/>
        <v>8119</v>
      </c>
      <c r="S178" s="69">
        <f t="shared" si="418"/>
        <v>0</v>
      </c>
      <c r="T178" s="69">
        <f t="shared" si="418"/>
        <v>1392.5999999999999</v>
      </c>
      <c r="U178" s="69">
        <f t="shared" si="418"/>
        <v>6726.3999999999996</v>
      </c>
      <c r="V178" s="69">
        <f t="shared" si="418"/>
        <v>0</v>
      </c>
      <c r="W178" s="69">
        <f t="shared" si="418"/>
        <v>874.37830691411898</v>
      </c>
      <c r="X178" s="88"/>
      <c r="Y178" s="89">
        <f t="shared" ref="Y178:AI178" si="419">Y179+Y180</f>
        <v>1.56404919583728</v>
      </c>
      <c r="Z178" s="69">
        <f t="shared" si="419"/>
        <v>3890.3340427538501</v>
      </c>
      <c r="AA178" s="69">
        <v>0</v>
      </c>
      <c r="AB178" s="69">
        <f t="shared" si="419"/>
        <v>0</v>
      </c>
      <c r="AC178" s="69">
        <f t="shared" si="419"/>
        <v>0</v>
      </c>
      <c r="AD178" s="90">
        <f t="shared" si="419"/>
        <v>49317.599999999999</v>
      </c>
      <c r="AE178" s="69" t="e">
        <f t="shared" si="419"/>
        <v>#REF!</v>
      </c>
      <c r="AF178" s="87">
        <f t="shared" si="419"/>
        <v>0</v>
      </c>
      <c r="AG178" s="87">
        <f t="shared" si="419"/>
        <v>10</v>
      </c>
      <c r="AH178" s="87">
        <f t="shared" si="419"/>
        <v>0</v>
      </c>
      <c r="AI178" s="69">
        <f t="shared" si="419"/>
        <v>0</v>
      </c>
      <c r="AJ178" s="89"/>
      <c r="AK178" s="69" t="e">
        <f t="shared" ref="AK178:AO178" si="420">AK179+AK180</f>
        <v>#REF!</v>
      </c>
      <c r="AL178" s="90">
        <f t="shared" si="420"/>
        <v>259.70999999999998</v>
      </c>
      <c r="AM178" s="69">
        <f t="shared" si="420"/>
        <v>172.52711674394899</v>
      </c>
      <c r="AN178" s="87" t="e">
        <f t="shared" si="420"/>
        <v>#REF!</v>
      </c>
      <c r="AO178" s="87" t="e">
        <f t="shared" si="420"/>
        <v>#REF!</v>
      </c>
      <c r="AP178" s="42" t="e">
        <f t="shared" si="304"/>
        <v>#REF!</v>
      </c>
      <c r="AQ178" s="89" t="e">
        <f>AQ179+AQ180</f>
        <v>#REF!</v>
      </c>
      <c r="AR178" s="43" t="e">
        <f t="shared" si="305"/>
        <v>#REF!</v>
      </c>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row>
    <row r="179" ht="17" customHeight="1">
      <c r="A179" s="44"/>
      <c r="B179" s="72" t="s">
        <v>218</v>
      </c>
      <c r="C179" s="46">
        <v>2</v>
      </c>
      <c r="D179" s="46"/>
      <c r="E179" s="46"/>
      <c r="F179" s="46"/>
      <c r="G179" s="73"/>
      <c r="H179" s="73"/>
      <c r="I179" s="73"/>
      <c r="J179" s="59">
        <f t="shared" ref="J179:J183" si="421">SUM(K179:O179)</f>
        <v>0</v>
      </c>
      <c r="K179" s="59">
        <f t="shared" ref="K179:K183" si="422">IF(D179="",I179*0.2,0)</f>
        <v>0</v>
      </c>
      <c r="L179" s="59">
        <f t="shared" ref="L179:L183" si="423">IF(D179=2017,I179*0.4,0)</f>
        <v>0</v>
      </c>
      <c r="M179" s="59">
        <f t="shared" ref="M179:M183" si="424">IF(D179=2018,I179*0.6,0)</f>
        <v>0</v>
      </c>
      <c r="N179" s="59">
        <f t="shared" ref="N179:N183" si="425">IF(D179=2019,I179*0.8,0)</f>
        <v>0</v>
      </c>
      <c r="O179" s="59">
        <f t="shared" ref="O179:O183" si="426">IF(D179=2020,I179*1,0)</f>
        <v>0</v>
      </c>
      <c r="P179" s="59"/>
      <c r="Q179" s="59"/>
      <c r="R179" s="59">
        <f>N179*0.4+O179*0.6+P179*0.8+Q179*1</f>
        <v>0</v>
      </c>
      <c r="S179" s="59">
        <f>Q179-T179-U179-V179</f>
        <v>0</v>
      </c>
      <c r="T179" s="59"/>
      <c r="U179" s="59"/>
      <c r="V179" s="59"/>
      <c r="W179" s="59"/>
      <c r="X179" s="61"/>
      <c r="Y179" s="62"/>
      <c r="Z179" s="59"/>
      <c r="AA179" s="59"/>
      <c r="AB179" s="59"/>
      <c r="AC179" s="59"/>
      <c r="AD179" s="61"/>
      <c r="AE179" s="59"/>
      <c r="AF179" s="59"/>
      <c r="AG179" s="59"/>
      <c r="AH179" s="59"/>
      <c r="AI179" s="59"/>
      <c r="AJ179" s="62"/>
      <c r="AK179" s="59" t="e">
        <f>AJ179/$AJ$9*0.05*200000</f>
        <v>#REF!</v>
      </c>
      <c r="AL179" s="61"/>
      <c r="AM179" s="59">
        <f>(AL179/$AL$9)*0.05*200000</f>
        <v>0</v>
      </c>
      <c r="AN179" s="53" t="e">
        <f>ROUND(AM179+AK179+AE179+AC179+Z179+W179,0)</f>
        <v>#REF!</v>
      </c>
      <c r="AO179" s="53" t="e">
        <f t="shared" ref="AO179:AO183" si="427">AN179-G179</f>
        <v>#REF!</v>
      </c>
      <c r="AP179" s="42"/>
      <c r="AQ179" s="62" t="e">
        <f t="shared" ref="AQ179:AQ183" si="428">AN179-H179</f>
        <v>#REF!</v>
      </c>
      <c r="AR179" s="43"/>
    </row>
    <row r="180" s="74" customFormat="1" ht="17" customHeight="1">
      <c r="A180" s="75"/>
      <c r="B180" s="76" t="s">
        <v>76</v>
      </c>
      <c r="C180" s="77">
        <v>3</v>
      </c>
      <c r="D180" s="77"/>
      <c r="E180" s="77"/>
      <c r="F180" s="77"/>
      <c r="G180" s="91">
        <f>SUM(G181:G183)</f>
        <v>23825</v>
      </c>
      <c r="H180" s="91">
        <f>SUM(H181:H183)</f>
        <v>13121.600500353101</v>
      </c>
      <c r="I180" s="91">
        <f t="shared" ref="I180:O180" si="429">SUM(I181:I183)</f>
        <v>68762</v>
      </c>
      <c r="J180" s="79">
        <f t="shared" si="429"/>
        <v>49317.599999999999</v>
      </c>
      <c r="K180" s="79">
        <f t="shared" si="429"/>
        <v>0</v>
      </c>
      <c r="L180" s="79">
        <f t="shared" si="429"/>
        <v>0</v>
      </c>
      <c r="M180" s="79">
        <f t="shared" si="429"/>
        <v>17076</v>
      </c>
      <c r="N180" s="79">
        <f t="shared" si="429"/>
        <v>32241.599999999999</v>
      </c>
      <c r="O180" s="79">
        <f t="shared" si="429"/>
        <v>0</v>
      </c>
      <c r="P180" s="79">
        <v>7003</v>
      </c>
      <c r="Q180" s="79">
        <f t="shared" ref="Q180:W180" si="430">SUM(Q181:Q183)</f>
        <v>10729</v>
      </c>
      <c r="R180" s="79">
        <f t="shared" si="430"/>
        <v>8119</v>
      </c>
      <c r="S180" s="79">
        <f t="shared" si="430"/>
        <v>0</v>
      </c>
      <c r="T180" s="79">
        <f t="shared" si="430"/>
        <v>1392.5999999999999</v>
      </c>
      <c r="U180" s="79">
        <f t="shared" si="430"/>
        <v>6726.3999999999996</v>
      </c>
      <c r="V180" s="79">
        <f t="shared" si="430"/>
        <v>0</v>
      </c>
      <c r="W180" s="79">
        <f t="shared" si="430"/>
        <v>874.37830691411898</v>
      </c>
      <c r="X180" s="92"/>
      <c r="Y180" s="93">
        <f t="shared" ref="Y180:AI180" si="431">SUM(Y181:Y183)</f>
        <v>1.56404919583728</v>
      </c>
      <c r="Z180" s="79">
        <f t="shared" si="431"/>
        <v>3890.3340427538501</v>
      </c>
      <c r="AA180" s="79">
        <v>0</v>
      </c>
      <c r="AB180" s="79">
        <f t="shared" si="431"/>
        <v>0</v>
      </c>
      <c r="AC180" s="79">
        <f t="shared" si="431"/>
        <v>0</v>
      </c>
      <c r="AD180" s="94">
        <f t="shared" si="431"/>
        <v>49317.599999999999</v>
      </c>
      <c r="AE180" s="79" t="e">
        <f t="shared" si="431"/>
        <v>#REF!</v>
      </c>
      <c r="AF180" s="91">
        <f t="shared" si="431"/>
        <v>0</v>
      </c>
      <c r="AG180" s="91">
        <f t="shared" si="431"/>
        <v>10</v>
      </c>
      <c r="AH180" s="91">
        <f t="shared" si="431"/>
        <v>0</v>
      </c>
      <c r="AI180" s="79">
        <f t="shared" si="431"/>
        <v>0</v>
      </c>
      <c r="AJ180" s="93"/>
      <c r="AK180" s="79" t="e">
        <f t="shared" ref="AK180:AO180" si="432">SUM(AK181:AK183)</f>
        <v>#REF!</v>
      </c>
      <c r="AL180" s="94">
        <f t="shared" si="432"/>
        <v>259.70999999999998</v>
      </c>
      <c r="AM180" s="79">
        <f t="shared" si="432"/>
        <v>172.52711674394899</v>
      </c>
      <c r="AN180" s="91" t="e">
        <f t="shared" si="432"/>
        <v>#REF!</v>
      </c>
      <c r="AO180" s="91" t="e">
        <f t="shared" si="432"/>
        <v>#REF!</v>
      </c>
      <c r="AP180" s="42" t="e">
        <f t="shared" si="304"/>
        <v>#REF!</v>
      </c>
      <c r="AQ180" s="93" t="e">
        <f>SUM(AQ181:AQ183)</f>
        <v>#REF!</v>
      </c>
      <c r="AR180" s="43" t="e">
        <f t="shared" si="305"/>
        <v>#REF!</v>
      </c>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row>
    <row r="181" ht="17" customHeight="1">
      <c r="A181" s="46">
        <v>119</v>
      </c>
      <c r="B181" s="82" t="s">
        <v>219</v>
      </c>
      <c r="C181" s="46" t="s">
        <v>93</v>
      </c>
      <c r="D181" s="46">
        <v>2018</v>
      </c>
      <c r="E181" s="46" t="s">
        <v>94</v>
      </c>
      <c r="F181" s="46"/>
      <c r="G181" s="73">
        <f t="shared" ref="G181:G183" si="433">VLOOKUP(B:B,$AZ:$BA,2,0)</f>
        <v>9697</v>
      </c>
      <c r="H181" s="73">
        <f t="shared" ref="H181:H183" si="434">G181*210000/381298.76</f>
        <v>5340.6153222213497</v>
      </c>
      <c r="I181" s="73">
        <v>16714</v>
      </c>
      <c r="J181" s="59">
        <f t="shared" si="421"/>
        <v>10028.4</v>
      </c>
      <c r="K181" s="59">
        <f t="shared" si="422"/>
        <v>0</v>
      </c>
      <c r="L181" s="59">
        <f t="shared" si="423"/>
        <v>0</v>
      </c>
      <c r="M181" s="59">
        <f t="shared" si="424"/>
        <v>10028.4</v>
      </c>
      <c r="N181" s="59">
        <f t="shared" si="425"/>
        <v>0</v>
      </c>
      <c r="O181" s="59">
        <f t="shared" si="426"/>
        <v>0</v>
      </c>
      <c r="P181" s="59">
        <v>1131</v>
      </c>
      <c r="Q181" s="59">
        <v>2321</v>
      </c>
      <c r="R181" s="59">
        <f t="shared" ref="R181:R183" si="435">S181+T181+U181+V181</f>
        <v>1392.5999999999999</v>
      </c>
      <c r="S181" s="59"/>
      <c r="T181" s="59">
        <f>Q181*0.6</f>
        <v>1392.5999999999999</v>
      </c>
      <c r="U181" s="59"/>
      <c r="V181" s="59"/>
      <c r="W181" s="59">
        <f t="shared" ref="W181:W183" si="436">(J181/$J$9*0.2+P181/$P$9*0.05+R181/$R$9*0.05)*299423</f>
        <v>168.376856997647</v>
      </c>
      <c r="X181" s="61">
        <v>10139</v>
      </c>
      <c r="Y181" s="62">
        <f t="shared" ref="Y181:Y183" si="437">IF(X181&lt;12842,(12842-X181)/(12842-$X$175),0)</f>
        <v>0.51144749290444702</v>
      </c>
      <c r="Z181" s="59">
        <f t="shared" ref="Z181:Z183" si="438">(Y181/$Y$9*0.15)*299423</f>
        <v>1272.1477035523401</v>
      </c>
      <c r="AA181" s="59"/>
      <c r="AB181" s="59"/>
      <c r="AC181" s="59"/>
      <c r="AD181" s="61">
        <f t="shared" ref="AD181:AD183" si="439">J181</f>
        <v>10028.4</v>
      </c>
      <c r="AE181" s="59" t="e">
        <f t="shared" ref="AE181:AE183" si="440">H181-W181-Z181-AC181-AK181-AM181</f>
        <v>#REF!</v>
      </c>
      <c r="AF181" s="59"/>
      <c r="AG181" s="59">
        <v>4</v>
      </c>
      <c r="AH181" s="59"/>
      <c r="AI181" s="59"/>
      <c r="AJ181" s="62" t="e">
        <f>VLOOKUP(B:B,表6资金使用成效（12月30日）!B:L,11,0)</f>
        <v>#REF!</v>
      </c>
      <c r="AK181" s="59" t="e">
        <f t="shared" ref="AK181:AK183" si="441">AJ181/$AJ$9*0.025*299423</f>
        <v>#REF!</v>
      </c>
      <c r="AL181" s="61">
        <v>88.299999999999997</v>
      </c>
      <c r="AM181" s="59">
        <f t="shared" ref="AM181:AM183" si="442">(AL181/$AL$9)*0.025*299423</f>
        <v>58.6582896634349</v>
      </c>
      <c r="AN181" s="53" t="e">
        <f t="shared" ref="AN181:AN183" si="443">ROUND(AM181+AK181+AE181+AC181+Z181+W181+AI181+AF181,0)</f>
        <v>#REF!</v>
      </c>
      <c r="AO181" s="53" t="e">
        <f t="shared" si="427"/>
        <v>#REF!</v>
      </c>
      <c r="AP181" s="42" t="e">
        <f t="shared" si="304"/>
        <v>#REF!</v>
      </c>
      <c r="AQ181" s="59" t="e">
        <f t="shared" si="428"/>
        <v>#REF!</v>
      </c>
      <c r="AR181" s="43" t="e">
        <f t="shared" si="305"/>
        <v>#REF!</v>
      </c>
    </row>
    <row r="182" ht="17" customHeight="1">
      <c r="A182" s="46">
        <v>120</v>
      </c>
      <c r="B182" s="82" t="s">
        <v>221</v>
      </c>
      <c r="C182" s="46" t="s">
        <v>93</v>
      </c>
      <c r="D182" s="46">
        <v>2019</v>
      </c>
      <c r="E182" s="46" t="s">
        <v>94</v>
      </c>
      <c r="F182" s="46"/>
      <c r="G182" s="73">
        <f t="shared" si="433"/>
        <v>8469</v>
      </c>
      <c r="H182" s="73">
        <f t="shared" si="434"/>
        <v>4664.2952628537296</v>
      </c>
      <c r="I182" s="73">
        <v>40302</v>
      </c>
      <c r="J182" s="59">
        <f t="shared" si="421"/>
        <v>32241.599999999999</v>
      </c>
      <c r="K182" s="59">
        <f t="shared" si="422"/>
        <v>0</v>
      </c>
      <c r="L182" s="59">
        <f t="shared" si="423"/>
        <v>0</v>
      </c>
      <c r="M182" s="59">
        <f t="shared" si="424"/>
        <v>0</v>
      </c>
      <c r="N182" s="59">
        <f t="shared" si="425"/>
        <v>32241.599999999999</v>
      </c>
      <c r="O182" s="59">
        <f t="shared" si="426"/>
        <v>0</v>
      </c>
      <c r="P182" s="59">
        <v>4739</v>
      </c>
      <c r="Q182" s="59">
        <v>5324</v>
      </c>
      <c r="R182" s="59">
        <f t="shared" si="435"/>
        <v>4259.1999999999998</v>
      </c>
      <c r="S182" s="59"/>
      <c r="T182" s="59"/>
      <c r="U182" s="59">
        <f t="shared" ref="U182:U193" si="444">Q182*0.8</f>
        <v>4259.1999999999998</v>
      </c>
      <c r="V182" s="59"/>
      <c r="W182" s="59">
        <f t="shared" si="436"/>
        <v>557.65055688665404</v>
      </c>
      <c r="X182" s="61">
        <v>10076</v>
      </c>
      <c r="Y182" s="62">
        <f t="shared" si="437"/>
        <v>0.52336802270577099</v>
      </c>
      <c r="Z182" s="59">
        <f t="shared" si="438"/>
        <v>1301.7982049669899</v>
      </c>
      <c r="AA182" s="59"/>
      <c r="AB182" s="59"/>
      <c r="AC182" s="59"/>
      <c r="AD182" s="61">
        <f t="shared" si="439"/>
        <v>32241.599999999999</v>
      </c>
      <c r="AE182" s="59" t="e">
        <f t="shared" si="440"/>
        <v>#REF!</v>
      </c>
      <c r="AF182" s="59"/>
      <c r="AG182" s="59">
        <v>3</v>
      </c>
      <c r="AH182" s="59"/>
      <c r="AI182" s="59"/>
      <c r="AJ182" s="62" t="e">
        <f>VLOOKUP(B:B,表6资金使用成效（12月30日）!B:L,11,0)</f>
        <v>#REF!</v>
      </c>
      <c r="AK182" s="59" t="e">
        <f t="shared" si="441"/>
        <v>#REF!</v>
      </c>
      <c r="AL182" s="61">
        <v>88.890000000000001</v>
      </c>
      <c r="AM182" s="59">
        <f t="shared" si="442"/>
        <v>59.050230670246002</v>
      </c>
      <c r="AN182" s="53" t="e">
        <f t="shared" si="443"/>
        <v>#REF!</v>
      </c>
      <c r="AO182" s="53" t="e">
        <f t="shared" si="427"/>
        <v>#REF!</v>
      </c>
      <c r="AP182" s="42" t="e">
        <f t="shared" si="304"/>
        <v>#REF!</v>
      </c>
      <c r="AQ182" s="59" t="e">
        <f t="shared" si="428"/>
        <v>#REF!</v>
      </c>
      <c r="AR182" s="43" t="e">
        <f t="shared" si="305"/>
        <v>#REF!</v>
      </c>
    </row>
    <row r="183" ht="17" customHeight="1">
      <c r="A183" s="46">
        <v>121</v>
      </c>
      <c r="B183" s="82" t="s">
        <v>220</v>
      </c>
      <c r="C183" s="46" t="s">
        <v>93</v>
      </c>
      <c r="D183" s="46">
        <v>2018</v>
      </c>
      <c r="E183" s="46" t="s">
        <v>94</v>
      </c>
      <c r="F183" s="46"/>
      <c r="G183" s="73">
        <f t="shared" si="433"/>
        <v>5659</v>
      </c>
      <c r="H183" s="73">
        <f t="shared" si="434"/>
        <v>3116.6899152779802</v>
      </c>
      <c r="I183" s="73">
        <v>11746</v>
      </c>
      <c r="J183" s="59">
        <f t="shared" si="421"/>
        <v>7047.6000000000004</v>
      </c>
      <c r="K183" s="59">
        <f t="shared" si="422"/>
        <v>0</v>
      </c>
      <c r="L183" s="59">
        <f t="shared" si="423"/>
        <v>0</v>
      </c>
      <c r="M183" s="59">
        <f t="shared" si="424"/>
        <v>7047.6000000000004</v>
      </c>
      <c r="N183" s="59">
        <f t="shared" si="425"/>
        <v>0</v>
      </c>
      <c r="O183" s="59">
        <f t="shared" si="426"/>
        <v>0</v>
      </c>
      <c r="P183" s="59">
        <v>1133</v>
      </c>
      <c r="Q183" s="59">
        <v>3084</v>
      </c>
      <c r="R183" s="59">
        <f t="shared" si="435"/>
        <v>2467.1999999999998</v>
      </c>
      <c r="S183" s="59"/>
      <c r="T183" s="59"/>
      <c r="U183" s="59">
        <f t="shared" si="444"/>
        <v>2467.1999999999998</v>
      </c>
      <c r="V183" s="59"/>
      <c r="W183" s="59">
        <f t="shared" si="436"/>
        <v>148.350893029817</v>
      </c>
      <c r="X183" s="61">
        <v>10045</v>
      </c>
      <c r="Y183" s="62">
        <f t="shared" si="437"/>
        <v>0.52923368022705797</v>
      </c>
      <c r="Z183" s="59">
        <f t="shared" si="438"/>
        <v>1316.3881342345201</v>
      </c>
      <c r="AA183" s="59"/>
      <c r="AB183" s="59"/>
      <c r="AC183" s="59"/>
      <c r="AD183" s="61">
        <f t="shared" si="439"/>
        <v>7047.6000000000004</v>
      </c>
      <c r="AE183" s="59" t="e">
        <f t="shared" si="440"/>
        <v>#REF!</v>
      </c>
      <c r="AF183" s="59"/>
      <c r="AG183" s="59">
        <v>3</v>
      </c>
      <c r="AH183" s="59"/>
      <c r="AI183" s="59"/>
      <c r="AJ183" s="62" t="e">
        <f>VLOOKUP(B:B,表6资金使用成效（12月30日）!B:L,11,0)</f>
        <v>#REF!</v>
      </c>
      <c r="AK183" s="59" t="e">
        <f t="shared" si="441"/>
        <v>#REF!</v>
      </c>
      <c r="AL183" s="61">
        <v>82.519999999999996</v>
      </c>
      <c r="AM183" s="59">
        <f t="shared" si="442"/>
        <v>54.818596410267801</v>
      </c>
      <c r="AN183" s="53" t="e">
        <f t="shared" si="443"/>
        <v>#REF!</v>
      </c>
      <c r="AO183" s="53" t="e">
        <f t="shared" si="427"/>
        <v>#REF!</v>
      </c>
      <c r="AP183" s="42" t="e">
        <f t="shared" si="304"/>
        <v>#REF!</v>
      </c>
      <c r="AQ183" s="59" t="e">
        <f t="shared" si="428"/>
        <v>#REF!</v>
      </c>
      <c r="AR183" s="43" t="e">
        <f t="shared" si="305"/>
        <v>#REF!</v>
      </c>
    </row>
    <row r="184" s="64" customFormat="1" ht="17" customHeight="1">
      <c r="A184" s="65"/>
      <c r="B184" s="66" t="s">
        <v>222</v>
      </c>
      <c r="C184" s="67">
        <v>1</v>
      </c>
      <c r="D184" s="67"/>
      <c r="E184" s="67"/>
      <c r="F184" s="67"/>
      <c r="G184" s="87">
        <f>G185+G186</f>
        <v>14798</v>
      </c>
      <c r="H184" s="87">
        <f>H185+H186</f>
        <v>8149.9871649202296</v>
      </c>
      <c r="I184" s="87">
        <f t="shared" ref="I184:O184" si="445">I185+I186</f>
        <v>332572</v>
      </c>
      <c r="J184" s="69">
        <f t="shared" si="445"/>
        <v>200588.39999999999</v>
      </c>
      <c r="K184" s="69">
        <f t="shared" si="445"/>
        <v>0</v>
      </c>
      <c r="L184" s="69">
        <f t="shared" si="445"/>
        <v>17008.400000000001</v>
      </c>
      <c r="M184" s="69">
        <f t="shared" si="445"/>
        <v>145382.39999999999</v>
      </c>
      <c r="N184" s="69">
        <f t="shared" si="445"/>
        <v>38197.599999999999</v>
      </c>
      <c r="O184" s="69">
        <f t="shared" si="445"/>
        <v>0</v>
      </c>
      <c r="P184" s="69">
        <v>35375</v>
      </c>
      <c r="Q184" s="69">
        <f t="shared" ref="Q184:W184" si="446">Q185+Q186</f>
        <v>21233</v>
      </c>
      <c r="R184" s="69">
        <f t="shared" si="446"/>
        <v>15913.6</v>
      </c>
      <c r="S184" s="69">
        <f t="shared" si="446"/>
        <v>178.40000000000001</v>
      </c>
      <c r="T184" s="69">
        <f t="shared" si="446"/>
        <v>2683.1999999999998</v>
      </c>
      <c r="U184" s="69">
        <f t="shared" si="446"/>
        <v>13052</v>
      </c>
      <c r="V184" s="69">
        <f t="shared" si="446"/>
        <v>0</v>
      </c>
      <c r="W184" s="69">
        <f t="shared" si="446"/>
        <v>3405.0145656398599</v>
      </c>
      <c r="X184" s="88"/>
      <c r="Y184" s="89">
        <f t="shared" ref="Y184:AI184" si="447">Y185+Y186</f>
        <v>0.13472090823084201</v>
      </c>
      <c r="Z184" s="69">
        <f t="shared" si="447"/>
        <v>335.097730273499</v>
      </c>
      <c r="AA184" s="69">
        <v>44</v>
      </c>
      <c r="AB184" s="69">
        <f t="shared" si="447"/>
        <v>22580.411764705899</v>
      </c>
      <c r="AC184" s="69">
        <f t="shared" si="447"/>
        <v>22580.411764705801</v>
      </c>
      <c r="AD184" s="90">
        <f t="shared" si="447"/>
        <v>102803.2</v>
      </c>
      <c r="AE184" s="69" t="e">
        <f t="shared" si="447"/>
        <v>#REF!</v>
      </c>
      <c r="AF184" s="87">
        <f t="shared" si="447"/>
        <v>0</v>
      </c>
      <c r="AG184" s="87">
        <f t="shared" si="447"/>
        <v>20</v>
      </c>
      <c r="AH184" s="87">
        <f t="shared" si="447"/>
        <v>0</v>
      </c>
      <c r="AI184" s="69">
        <f t="shared" si="447"/>
        <v>0</v>
      </c>
      <c r="AJ184" s="89"/>
      <c r="AK184" s="69" t="e">
        <f t="shared" ref="AK184:AO184" si="448">AK185+AK186</f>
        <v>#REF!</v>
      </c>
      <c r="AL184" s="90">
        <f t="shared" si="448"/>
        <v>743.28999999999996</v>
      </c>
      <c r="AM184" s="69">
        <f t="shared" si="448"/>
        <v>493.77259483504503</v>
      </c>
      <c r="AN184" s="69" t="e">
        <f t="shared" si="448"/>
        <v>#REF!</v>
      </c>
      <c r="AO184" s="69" t="e">
        <f t="shared" si="448"/>
        <v>#REF!</v>
      </c>
      <c r="AP184" s="96" t="e">
        <f t="shared" si="304"/>
        <v>#REF!</v>
      </c>
      <c r="AQ184" s="89" t="e">
        <f>AQ185+AQ186</f>
        <v>#REF!</v>
      </c>
      <c r="AR184" s="43" t="e">
        <f t="shared" si="305"/>
        <v>#REF!</v>
      </c>
    </row>
    <row r="185" ht="17" customHeight="1">
      <c r="A185" s="44"/>
      <c r="B185" s="72" t="s">
        <v>223</v>
      </c>
      <c r="C185" s="46">
        <v>2</v>
      </c>
      <c r="D185" s="46"/>
      <c r="E185" s="46"/>
      <c r="F185" s="46"/>
      <c r="G185" s="73"/>
      <c r="H185" s="73"/>
      <c r="I185" s="73"/>
      <c r="J185" s="59">
        <f t="shared" ref="J185:J194" si="449">SUM(K185:O185)</f>
        <v>0</v>
      </c>
      <c r="K185" s="59">
        <f t="shared" ref="K185:K194" si="450">IF(D185="",I185*0.2,0)</f>
        <v>0</v>
      </c>
      <c r="L185" s="59">
        <f t="shared" ref="L185:L194" si="451">IF(D185=2017,I185*0.4,0)</f>
        <v>0</v>
      </c>
      <c r="M185" s="59">
        <f t="shared" ref="M185:M194" si="452">IF(D185=2018,I185*0.6,0)</f>
        <v>0</v>
      </c>
      <c r="N185" s="59">
        <f t="shared" ref="N185:N194" si="453">IF(D185=2019,I185*0.8,0)</f>
        <v>0</v>
      </c>
      <c r="O185" s="59">
        <f t="shared" ref="O185:O194" si="454">IF(D185=2020,I185*1,0)</f>
        <v>0</v>
      </c>
      <c r="P185" s="59"/>
      <c r="Q185" s="59"/>
      <c r="R185" s="59">
        <f>N185*0.4+O185*0.6+P185*0.8+Q185*1</f>
        <v>0</v>
      </c>
      <c r="S185" s="59">
        <f>Q185-T185-U185-V185</f>
        <v>0</v>
      </c>
      <c r="T185" s="59"/>
      <c r="U185" s="59"/>
      <c r="V185" s="59"/>
      <c r="W185" s="59"/>
      <c r="X185" s="61"/>
      <c r="Y185" s="62"/>
      <c r="Z185" s="59"/>
      <c r="AA185" s="59"/>
      <c r="AB185" s="59"/>
      <c r="AC185" s="59"/>
      <c r="AD185" s="61"/>
      <c r="AE185" s="59"/>
      <c r="AF185" s="59"/>
      <c r="AG185" s="59"/>
      <c r="AH185" s="59"/>
      <c r="AI185" s="59"/>
      <c r="AJ185" s="62"/>
      <c r="AK185" s="59" t="e">
        <f>AJ185/$AJ$9*0.05*200000</f>
        <v>#REF!</v>
      </c>
      <c r="AL185" s="61"/>
      <c r="AM185" s="59">
        <f>(AL185/$AL$9)*0.05*200000</f>
        <v>0</v>
      </c>
      <c r="AN185" s="53" t="e">
        <f>ROUND(AM185+AK185+AE185+AC185+Z185+W185,0)</f>
        <v>#REF!</v>
      </c>
      <c r="AO185" s="53" t="e">
        <f t="shared" ref="AO185:AO194" si="455">AN185-G185</f>
        <v>#REF!</v>
      </c>
      <c r="AP185" s="42"/>
      <c r="AQ185" s="62" t="e">
        <f t="shared" ref="AQ185:AQ194" si="456">AN185-H185</f>
        <v>#REF!</v>
      </c>
      <c r="AR185" s="43"/>
    </row>
    <row r="186" s="74" customFormat="1" ht="17" customHeight="1">
      <c r="A186" s="75"/>
      <c r="B186" s="76" t="s">
        <v>76</v>
      </c>
      <c r="C186" s="77">
        <v>3</v>
      </c>
      <c r="D186" s="77"/>
      <c r="E186" s="77"/>
      <c r="F186" s="77"/>
      <c r="G186" s="91">
        <f>SUM(G187:G194)</f>
        <v>14798</v>
      </c>
      <c r="H186" s="91">
        <f>SUM(H187:H194)</f>
        <v>8149.9871649202296</v>
      </c>
      <c r="I186" s="91">
        <f t="shared" ref="I186:O186" si="457">SUM(I187:I194)</f>
        <v>332572</v>
      </c>
      <c r="J186" s="79">
        <f t="shared" si="457"/>
        <v>200588.39999999999</v>
      </c>
      <c r="K186" s="79">
        <f t="shared" si="457"/>
        <v>0</v>
      </c>
      <c r="L186" s="79">
        <f t="shared" si="457"/>
        <v>17008.400000000001</v>
      </c>
      <c r="M186" s="79">
        <f t="shared" si="457"/>
        <v>145382.39999999999</v>
      </c>
      <c r="N186" s="79">
        <f t="shared" si="457"/>
        <v>38197.599999999999</v>
      </c>
      <c r="O186" s="79">
        <f t="shared" si="457"/>
        <v>0</v>
      </c>
      <c r="P186" s="79">
        <v>35375</v>
      </c>
      <c r="Q186" s="79">
        <f t="shared" ref="Q186:W186" si="458">SUM(Q187:Q194)</f>
        <v>21233</v>
      </c>
      <c r="R186" s="79">
        <f t="shared" si="458"/>
        <v>15913.6</v>
      </c>
      <c r="S186" s="79">
        <f t="shared" si="458"/>
        <v>178.40000000000001</v>
      </c>
      <c r="T186" s="79">
        <f t="shared" si="458"/>
        <v>2683.1999999999998</v>
      </c>
      <c r="U186" s="79">
        <f t="shared" si="458"/>
        <v>13052</v>
      </c>
      <c r="V186" s="79">
        <f t="shared" si="458"/>
        <v>0</v>
      </c>
      <c r="W186" s="79">
        <f t="shared" si="458"/>
        <v>3405.0145656398599</v>
      </c>
      <c r="X186" s="92"/>
      <c r="Y186" s="93">
        <f t="shared" ref="Y186:AI186" si="459">SUM(Y187:Y194)</f>
        <v>0.13472090823084201</v>
      </c>
      <c r="Z186" s="79">
        <f t="shared" si="459"/>
        <v>335.097730273499</v>
      </c>
      <c r="AA186" s="79">
        <v>44</v>
      </c>
      <c r="AB186" s="79">
        <f t="shared" si="459"/>
        <v>22580.411764705899</v>
      </c>
      <c r="AC186" s="79">
        <f t="shared" si="459"/>
        <v>22580.411764705801</v>
      </c>
      <c r="AD186" s="94">
        <f t="shared" si="459"/>
        <v>102803.2</v>
      </c>
      <c r="AE186" s="79" t="e">
        <f t="shared" si="459"/>
        <v>#REF!</v>
      </c>
      <c r="AF186" s="91">
        <f t="shared" si="459"/>
        <v>0</v>
      </c>
      <c r="AG186" s="91">
        <f t="shared" si="459"/>
        <v>20</v>
      </c>
      <c r="AH186" s="91">
        <f t="shared" si="459"/>
        <v>0</v>
      </c>
      <c r="AI186" s="79">
        <f t="shared" si="459"/>
        <v>0</v>
      </c>
      <c r="AJ186" s="93"/>
      <c r="AK186" s="79" t="e">
        <f t="shared" ref="AK186:AO186" si="460">SUM(AK187:AK194)</f>
        <v>#REF!</v>
      </c>
      <c r="AL186" s="94">
        <f t="shared" si="460"/>
        <v>743.28999999999996</v>
      </c>
      <c r="AM186" s="79">
        <f t="shared" si="460"/>
        <v>493.77259483504503</v>
      </c>
      <c r="AN186" s="79" t="e">
        <f t="shared" si="460"/>
        <v>#REF!</v>
      </c>
      <c r="AO186" s="79" t="e">
        <f t="shared" si="460"/>
        <v>#REF!</v>
      </c>
      <c r="AP186" s="97" t="e">
        <f t="shared" si="304"/>
        <v>#REF!</v>
      </c>
      <c r="AQ186" s="93" t="e">
        <f>SUM(AQ187:AQ194)</f>
        <v>#REF!</v>
      </c>
      <c r="AR186" s="43" t="e">
        <f t="shared" si="305"/>
        <v>#REF!</v>
      </c>
    </row>
    <row r="187" ht="17" customHeight="1">
      <c r="A187" s="46">
        <v>122</v>
      </c>
      <c r="B187" s="82" t="s">
        <v>225</v>
      </c>
      <c r="C187" s="46" t="s">
        <v>90</v>
      </c>
      <c r="D187" s="46">
        <v>2018</v>
      </c>
      <c r="E187" s="46" t="s">
        <v>91</v>
      </c>
      <c r="F187" s="46"/>
      <c r="G187" s="73">
        <f t="shared" ref="G187:G194" si="461">VLOOKUP(B:B,$AZ:$BA,2,0)</f>
        <v>1728</v>
      </c>
      <c r="H187" s="73">
        <f t="shared" ref="H187:H194" si="462">G187*210000/381298.76</f>
        <v>951.69467637397997</v>
      </c>
      <c r="I187" s="73">
        <v>67610</v>
      </c>
      <c r="J187" s="59">
        <f t="shared" si="449"/>
        <v>40566</v>
      </c>
      <c r="K187" s="59">
        <f t="shared" si="450"/>
        <v>0</v>
      </c>
      <c r="L187" s="59">
        <f t="shared" si="451"/>
        <v>0</v>
      </c>
      <c r="M187" s="59">
        <f t="shared" si="452"/>
        <v>40566</v>
      </c>
      <c r="N187" s="59">
        <f t="shared" si="453"/>
        <v>0</v>
      </c>
      <c r="O187" s="59">
        <f t="shared" si="454"/>
        <v>0</v>
      </c>
      <c r="P187" s="59">
        <v>6650</v>
      </c>
      <c r="Q187" s="59">
        <v>3875</v>
      </c>
      <c r="R187" s="59">
        <f t="shared" ref="R187:R194" si="463">S187+T187+U187+V187</f>
        <v>3100</v>
      </c>
      <c r="S187" s="59"/>
      <c r="T187" s="59"/>
      <c r="U187" s="59">
        <f t="shared" si="444"/>
        <v>3100</v>
      </c>
      <c r="V187" s="59"/>
      <c r="W187" s="59">
        <f t="shared" ref="W187:W194" si="464">(J187/$J$9*0.2+P187/$P$9*0.05+R187/$R$9*0.05)*299423</f>
        <v>677.65062876428306</v>
      </c>
      <c r="X187" s="61">
        <v>13034</v>
      </c>
      <c r="Y187" s="62">
        <f t="shared" ref="Y187:Y194" si="465">IF(X187&lt;12842,(12842-X187)/(12842-$X$175),0)</f>
        <v>0</v>
      </c>
      <c r="Z187" s="59">
        <f t="shared" ref="Z187:Z194" si="466">(Y187/$Y$9*0.15)*299423</f>
        <v>0</v>
      </c>
      <c r="AA187" s="59"/>
      <c r="AB187" s="59"/>
      <c r="AC187" s="59"/>
      <c r="AD187" s="61">
        <f>J187</f>
        <v>40566</v>
      </c>
      <c r="AE187" s="59" t="e">
        <f>H187-W187-Z187-AC187-AK187-AM187</f>
        <v>#REF!</v>
      </c>
      <c r="AF187" s="59"/>
      <c r="AG187" s="59">
        <v>5</v>
      </c>
      <c r="AH187" s="59"/>
      <c r="AI187" s="59"/>
      <c r="AJ187" s="62" t="e">
        <f>VLOOKUP(B:B,表6资金使用成效（12月30日）!B:L,11,0)</f>
        <v>#REF!</v>
      </c>
      <c r="AK187" s="59" t="e">
        <f t="shared" ref="AK187:AK194" si="467">AJ187/$AJ$9*0.025*299423</f>
        <v>#REF!</v>
      </c>
      <c r="AL187" s="61">
        <v>98.459999999999994</v>
      </c>
      <c r="AM187" s="59">
        <f t="shared" ref="AM187:AM194" si="468">(AL187/$AL$9)*0.025*299423</f>
        <v>65.407646662081504</v>
      </c>
      <c r="AN187" s="53" t="e">
        <f t="shared" ref="AN187:AN194" si="469">ROUND(AM187+AK187+AE187+AC187+Z187+W187+AI187+AF187,0)</f>
        <v>#REF!</v>
      </c>
      <c r="AO187" s="53" t="e">
        <f t="shared" si="455"/>
        <v>#REF!</v>
      </c>
      <c r="AP187" s="42" t="e">
        <f t="shared" si="304"/>
        <v>#REF!</v>
      </c>
      <c r="AQ187" s="59" t="e">
        <f t="shared" si="456"/>
        <v>#REF!</v>
      </c>
      <c r="AR187" s="43" t="e">
        <f t="shared" si="305"/>
        <v>#REF!</v>
      </c>
    </row>
    <row r="188" ht="17" customHeight="1">
      <c r="A188" s="46">
        <v>123</v>
      </c>
      <c r="B188" s="82" t="s">
        <v>226</v>
      </c>
      <c r="C188" s="46" t="s">
        <v>90</v>
      </c>
      <c r="D188" s="46">
        <v>2017</v>
      </c>
      <c r="E188" s="46"/>
      <c r="F188" s="46"/>
      <c r="G188" s="73">
        <f t="shared" si="461"/>
        <v>707</v>
      </c>
      <c r="H188" s="73">
        <f t="shared" si="462"/>
        <v>389.37970844699299</v>
      </c>
      <c r="I188" s="73">
        <v>42521</v>
      </c>
      <c r="J188" s="59">
        <f t="shared" si="449"/>
        <v>17008.400000000001</v>
      </c>
      <c r="K188" s="59">
        <f t="shared" si="450"/>
        <v>0</v>
      </c>
      <c r="L188" s="59">
        <f t="shared" si="451"/>
        <v>17008.400000000001</v>
      </c>
      <c r="M188" s="59">
        <f t="shared" si="452"/>
        <v>0</v>
      </c>
      <c r="N188" s="59">
        <f t="shared" si="453"/>
        <v>0</v>
      </c>
      <c r="O188" s="59">
        <f t="shared" si="454"/>
        <v>0</v>
      </c>
      <c r="P188" s="59">
        <v>4931</v>
      </c>
      <c r="Q188" s="59">
        <v>1690</v>
      </c>
      <c r="R188" s="59">
        <f t="shared" si="463"/>
        <v>1014</v>
      </c>
      <c r="S188" s="59"/>
      <c r="T188" s="59">
        <f>Q188*0.6</f>
        <v>1014</v>
      </c>
      <c r="U188" s="59"/>
      <c r="V188" s="59"/>
      <c r="W188" s="59">
        <f t="shared" si="464"/>
        <v>318.04109527761801</v>
      </c>
      <c r="X188" s="61">
        <v>13561</v>
      </c>
      <c r="Y188" s="62">
        <f t="shared" si="465"/>
        <v>0</v>
      </c>
      <c r="Z188" s="59">
        <f t="shared" si="466"/>
        <v>0</v>
      </c>
      <c r="AA188" s="59"/>
      <c r="AB188" s="59"/>
      <c r="AC188" s="59"/>
      <c r="AD188" s="61"/>
      <c r="AE188" s="59">
        <f t="shared" ref="AE187:AE194" si="470">AD188/$AD$9*71500</f>
        <v>0</v>
      </c>
      <c r="AF188" s="59"/>
      <c r="AG188" s="59">
        <v>3</v>
      </c>
      <c r="AH188" s="59"/>
      <c r="AI188" s="59"/>
      <c r="AJ188" s="62" t="e">
        <f>VLOOKUP(B:B,表6资金使用成效（12月30日）!B:L,11,0)</f>
        <v>#REF!</v>
      </c>
      <c r="AK188" s="59" t="e">
        <f t="shared" si="467"/>
        <v>#REF!</v>
      </c>
      <c r="AL188" s="61">
        <v>92.989999999999995</v>
      </c>
      <c r="AM188" s="59">
        <f t="shared" si="468"/>
        <v>61.773888514188101</v>
      </c>
      <c r="AN188" s="53" t="e">
        <f t="shared" si="469"/>
        <v>#REF!</v>
      </c>
      <c r="AO188" s="53" t="e">
        <f t="shared" si="455"/>
        <v>#REF!</v>
      </c>
      <c r="AP188" s="42" t="e">
        <f t="shared" si="304"/>
        <v>#REF!</v>
      </c>
      <c r="AQ188" s="59" t="e">
        <f t="shared" si="456"/>
        <v>#REF!</v>
      </c>
      <c r="AR188" s="43" t="e">
        <f t="shared" si="305"/>
        <v>#REF!</v>
      </c>
    </row>
    <row r="189" ht="17" customHeight="1">
      <c r="A189" s="46">
        <v>124</v>
      </c>
      <c r="B189" s="82" t="s">
        <v>224</v>
      </c>
      <c r="C189" s="46" t="s">
        <v>90</v>
      </c>
      <c r="D189" s="46">
        <v>2018</v>
      </c>
      <c r="E189" s="46"/>
      <c r="F189" s="46"/>
      <c r="G189" s="73">
        <f t="shared" si="461"/>
        <v>2095</v>
      </c>
      <c r="H189" s="73">
        <f t="shared" si="462"/>
        <v>1153.8196452566499</v>
      </c>
      <c r="I189" s="73">
        <v>38517</v>
      </c>
      <c r="J189" s="59">
        <f t="shared" si="449"/>
        <v>23110.200000000001</v>
      </c>
      <c r="K189" s="59">
        <f t="shared" si="450"/>
        <v>0</v>
      </c>
      <c r="L189" s="59">
        <f t="shared" si="451"/>
        <v>0</v>
      </c>
      <c r="M189" s="59">
        <f t="shared" si="452"/>
        <v>23110.200000000001</v>
      </c>
      <c r="N189" s="59">
        <f t="shared" si="453"/>
        <v>0</v>
      </c>
      <c r="O189" s="59">
        <f t="shared" si="454"/>
        <v>0</v>
      </c>
      <c r="P189" s="59">
        <v>3785</v>
      </c>
      <c r="Q189" s="59">
        <v>4109</v>
      </c>
      <c r="R189" s="59">
        <f t="shared" si="463"/>
        <v>3287.1999999999998</v>
      </c>
      <c r="S189" s="59"/>
      <c r="T189" s="59"/>
      <c r="U189" s="59">
        <f t="shared" si="444"/>
        <v>3287.1999999999998</v>
      </c>
      <c r="V189" s="59"/>
      <c r="W189" s="59">
        <f t="shared" si="464"/>
        <v>410.45924444860202</v>
      </c>
      <c r="X189" s="61">
        <v>12869</v>
      </c>
      <c r="Y189" s="62">
        <f t="shared" si="465"/>
        <v>0</v>
      </c>
      <c r="Z189" s="59">
        <f t="shared" si="466"/>
        <v>0</v>
      </c>
      <c r="AA189" s="59"/>
      <c r="AB189" s="59"/>
      <c r="AC189" s="59"/>
      <c r="AD189" s="61"/>
      <c r="AE189" s="59">
        <f t="shared" si="470"/>
        <v>0</v>
      </c>
      <c r="AF189" s="59"/>
      <c r="AG189" s="59">
        <v>5</v>
      </c>
      <c r="AH189" s="59"/>
      <c r="AI189" s="59"/>
      <c r="AJ189" s="62" t="e">
        <f>VLOOKUP(B:B,表6资金使用成效（12月30日）!B:L,11,0)</f>
        <v>#REF!</v>
      </c>
      <c r="AK189" s="59" t="e">
        <f t="shared" si="467"/>
        <v>#REF!</v>
      </c>
      <c r="AL189" s="61">
        <v>90.870000000000005</v>
      </c>
      <c r="AM189" s="59">
        <f t="shared" si="468"/>
        <v>60.365558116832702</v>
      </c>
      <c r="AN189" s="53" t="e">
        <f t="shared" si="469"/>
        <v>#REF!</v>
      </c>
      <c r="AO189" s="53" t="e">
        <f t="shared" si="455"/>
        <v>#REF!</v>
      </c>
      <c r="AP189" s="42" t="e">
        <f t="shared" si="304"/>
        <v>#REF!</v>
      </c>
      <c r="AQ189" s="59" t="e">
        <f t="shared" si="456"/>
        <v>#REF!</v>
      </c>
      <c r="AR189" s="43" t="e">
        <f t="shared" si="305"/>
        <v>#REF!</v>
      </c>
    </row>
    <row r="190" ht="17" customHeight="1">
      <c r="A190" s="46">
        <v>125</v>
      </c>
      <c r="B190" s="82" t="s">
        <v>227</v>
      </c>
      <c r="C190" s="46" t="s">
        <v>90</v>
      </c>
      <c r="D190" s="46">
        <v>2019</v>
      </c>
      <c r="E190" s="46" t="s">
        <v>91</v>
      </c>
      <c r="F190" s="46"/>
      <c r="G190" s="73">
        <f t="shared" si="461"/>
        <v>1381</v>
      </c>
      <c r="H190" s="73">
        <f t="shared" si="462"/>
        <v>760.58469217156596</v>
      </c>
      <c r="I190" s="73">
        <v>47747</v>
      </c>
      <c r="J190" s="59">
        <f t="shared" si="449"/>
        <v>38197.599999999999</v>
      </c>
      <c r="K190" s="59">
        <f t="shared" si="450"/>
        <v>0</v>
      </c>
      <c r="L190" s="59">
        <f t="shared" si="451"/>
        <v>0</v>
      </c>
      <c r="M190" s="59">
        <f t="shared" si="452"/>
        <v>0</v>
      </c>
      <c r="N190" s="59">
        <f t="shared" si="453"/>
        <v>38197.599999999999</v>
      </c>
      <c r="O190" s="59">
        <f t="shared" si="454"/>
        <v>0</v>
      </c>
      <c r="P190" s="59">
        <v>4818</v>
      </c>
      <c r="Q190" s="59">
        <v>446</v>
      </c>
      <c r="R190" s="59">
        <f t="shared" si="463"/>
        <v>178.40000000000001</v>
      </c>
      <c r="S190" s="59">
        <f>Q190*0.4</f>
        <v>178.40000000000001</v>
      </c>
      <c r="T190" s="59"/>
      <c r="U190" s="59"/>
      <c r="V190" s="59"/>
      <c r="W190" s="59">
        <f t="shared" si="464"/>
        <v>568.05379549679697</v>
      </c>
      <c r="X190" s="61">
        <v>12918</v>
      </c>
      <c r="Y190" s="62">
        <f t="shared" si="465"/>
        <v>0</v>
      </c>
      <c r="Z190" s="59">
        <f t="shared" si="466"/>
        <v>0</v>
      </c>
      <c r="AA190" s="59"/>
      <c r="AB190" s="59"/>
      <c r="AC190" s="59"/>
      <c r="AD190" s="61">
        <f>J190</f>
        <v>38197.599999999999</v>
      </c>
      <c r="AE190" s="59" t="e">
        <f>H190-W190-Z190-AC190-AK190-AM190</f>
        <v>#REF!</v>
      </c>
      <c r="AF190" s="59"/>
      <c r="AG190" s="59">
        <v>2</v>
      </c>
      <c r="AH190" s="59"/>
      <c r="AI190" s="59"/>
      <c r="AJ190" s="62" t="e">
        <f>VLOOKUP(B:B,表6资金使用成效（12月30日）!B:L,11,0)</f>
        <v>#REF!</v>
      </c>
      <c r="AK190" s="59" t="e">
        <f t="shared" si="467"/>
        <v>#REF!</v>
      </c>
      <c r="AL190" s="61">
        <v>93.200000000000003</v>
      </c>
      <c r="AM190" s="59">
        <f t="shared" si="468"/>
        <v>61.913392940341197</v>
      </c>
      <c r="AN190" s="53" t="e">
        <f t="shared" si="469"/>
        <v>#REF!</v>
      </c>
      <c r="AO190" s="53" t="e">
        <f t="shared" si="455"/>
        <v>#REF!</v>
      </c>
      <c r="AP190" s="42" t="e">
        <f t="shared" si="304"/>
        <v>#REF!</v>
      </c>
      <c r="AQ190" s="59" t="e">
        <f t="shared" si="456"/>
        <v>#REF!</v>
      </c>
      <c r="AR190" s="43" t="e">
        <f t="shared" si="305"/>
        <v>#REF!</v>
      </c>
    </row>
    <row r="191" ht="17" customHeight="1">
      <c r="A191" s="46">
        <v>126</v>
      </c>
      <c r="B191" s="82" t="s">
        <v>228</v>
      </c>
      <c r="C191" s="46" t="s">
        <v>90</v>
      </c>
      <c r="D191" s="46">
        <v>2018</v>
      </c>
      <c r="E191" s="46"/>
      <c r="F191" s="46" t="s">
        <v>146</v>
      </c>
      <c r="G191" s="73">
        <f t="shared" si="461"/>
        <v>2341</v>
      </c>
      <c r="H191" s="73">
        <f t="shared" si="462"/>
        <v>1289.30395682378</v>
      </c>
      <c r="I191" s="73">
        <v>32790</v>
      </c>
      <c r="J191" s="59">
        <f t="shared" si="449"/>
        <v>19674</v>
      </c>
      <c r="K191" s="59">
        <f t="shared" si="450"/>
        <v>0</v>
      </c>
      <c r="L191" s="59">
        <f t="shared" si="451"/>
        <v>0</v>
      </c>
      <c r="M191" s="59">
        <f t="shared" si="452"/>
        <v>19674</v>
      </c>
      <c r="N191" s="59">
        <f t="shared" si="453"/>
        <v>0</v>
      </c>
      <c r="O191" s="59">
        <f t="shared" si="454"/>
        <v>0</v>
      </c>
      <c r="P191" s="59">
        <v>3855</v>
      </c>
      <c r="Q191" s="59">
        <v>1212</v>
      </c>
      <c r="R191" s="59">
        <f t="shared" si="463"/>
        <v>727.20000000000005</v>
      </c>
      <c r="S191" s="59"/>
      <c r="T191" s="59">
        <f>Q191*0.6</f>
        <v>727.20000000000005</v>
      </c>
      <c r="U191" s="59"/>
      <c r="V191" s="59"/>
      <c r="W191" s="59">
        <f t="shared" si="464"/>
        <v>327.48608804082397</v>
      </c>
      <c r="X191" s="61">
        <v>12571</v>
      </c>
      <c r="Y191" s="62">
        <f t="shared" si="465"/>
        <v>5.1277199621570499e-002</v>
      </c>
      <c r="Z191" s="59">
        <f t="shared" si="466"/>
        <v>127.544220370953</v>
      </c>
      <c r="AA191" s="59">
        <v>14</v>
      </c>
      <c r="AB191" s="59">
        <f>VLOOKUP(B:B,小康村到县资金!C:I,7,0)</f>
        <v>8161.1764705882297</v>
      </c>
      <c r="AC191" s="59">
        <v>8161.1764705882297</v>
      </c>
      <c r="AD191" s="61"/>
      <c r="AE191" s="59">
        <f t="shared" si="470"/>
        <v>0</v>
      </c>
      <c r="AF191" s="59"/>
      <c r="AG191" s="59"/>
      <c r="AH191" s="59"/>
      <c r="AI191" s="59"/>
      <c r="AJ191" s="62" t="e">
        <f>VLOOKUP(B:B,表6资金使用成效（12月30日）!B:L,11,0)</f>
        <v>#REF!</v>
      </c>
      <c r="AK191" s="59" t="e">
        <f t="shared" si="467"/>
        <v>#REF!</v>
      </c>
      <c r="AL191" s="61">
        <v>92.430000000000007</v>
      </c>
      <c r="AM191" s="59">
        <f t="shared" si="468"/>
        <v>61.401876711113097</v>
      </c>
      <c r="AN191" s="53" t="e">
        <f t="shared" si="469"/>
        <v>#REF!</v>
      </c>
      <c r="AO191" s="53" t="e">
        <f t="shared" si="455"/>
        <v>#REF!</v>
      </c>
      <c r="AP191" s="42" t="e">
        <f t="shared" si="304"/>
        <v>#REF!</v>
      </c>
      <c r="AQ191" s="59" t="e">
        <f t="shared" si="456"/>
        <v>#REF!</v>
      </c>
      <c r="AR191" s="43" t="e">
        <f t="shared" si="305"/>
        <v>#REF!</v>
      </c>
    </row>
    <row r="192" ht="17" customHeight="1">
      <c r="A192" s="46">
        <v>127</v>
      </c>
      <c r="B192" s="82" t="s">
        <v>229</v>
      </c>
      <c r="C192" s="46" t="s">
        <v>90</v>
      </c>
      <c r="D192" s="46">
        <v>2018</v>
      </c>
      <c r="E192" s="46"/>
      <c r="F192" s="46"/>
      <c r="G192" s="73">
        <f t="shared" si="461"/>
        <v>1879</v>
      </c>
      <c r="H192" s="73">
        <f t="shared" si="462"/>
        <v>1034.8578107098999</v>
      </c>
      <c r="I192" s="73">
        <v>26354</v>
      </c>
      <c r="J192" s="59">
        <f t="shared" si="449"/>
        <v>15812.4</v>
      </c>
      <c r="K192" s="59">
        <f t="shared" si="450"/>
        <v>0</v>
      </c>
      <c r="L192" s="59">
        <f t="shared" si="451"/>
        <v>0</v>
      </c>
      <c r="M192" s="59">
        <f t="shared" si="452"/>
        <v>15812.4</v>
      </c>
      <c r="N192" s="59">
        <f t="shared" si="453"/>
        <v>0</v>
      </c>
      <c r="O192" s="59">
        <f t="shared" si="454"/>
        <v>0</v>
      </c>
      <c r="P192" s="59">
        <v>2899</v>
      </c>
      <c r="Q192" s="59">
        <v>3784</v>
      </c>
      <c r="R192" s="59">
        <f t="shared" si="463"/>
        <v>3027.1999999999998</v>
      </c>
      <c r="S192" s="59"/>
      <c r="T192" s="59"/>
      <c r="U192" s="59">
        <f t="shared" si="444"/>
        <v>3027.1999999999998</v>
      </c>
      <c r="V192" s="59"/>
      <c r="W192" s="59">
        <f t="shared" si="464"/>
        <v>298.91648425324701</v>
      </c>
      <c r="X192" s="61">
        <v>12863</v>
      </c>
      <c r="Y192" s="62">
        <f t="shared" si="465"/>
        <v>0</v>
      </c>
      <c r="Z192" s="59">
        <f t="shared" si="466"/>
        <v>0</v>
      </c>
      <c r="AA192" s="59"/>
      <c r="AB192" s="59"/>
      <c r="AC192" s="59"/>
      <c r="AD192" s="61"/>
      <c r="AE192" s="59">
        <f t="shared" si="470"/>
        <v>0</v>
      </c>
      <c r="AF192" s="59"/>
      <c r="AG192" s="59">
        <v>5</v>
      </c>
      <c r="AH192" s="59"/>
      <c r="AI192" s="59"/>
      <c r="AJ192" s="62" t="e">
        <f>VLOOKUP(B:B,表6资金使用成效（12月30日）!B:L,11,0)</f>
        <v>#REF!</v>
      </c>
      <c r="AK192" s="59" t="e">
        <f t="shared" si="467"/>
        <v>#REF!</v>
      </c>
      <c r="AL192" s="61">
        <v>90.689999999999998</v>
      </c>
      <c r="AM192" s="59">
        <f t="shared" si="468"/>
        <v>60.245982894415697</v>
      </c>
      <c r="AN192" s="53" t="e">
        <f t="shared" si="469"/>
        <v>#REF!</v>
      </c>
      <c r="AO192" s="53" t="e">
        <f t="shared" si="455"/>
        <v>#REF!</v>
      </c>
      <c r="AP192" s="42" t="e">
        <f t="shared" si="304"/>
        <v>#REF!</v>
      </c>
      <c r="AQ192" s="59" t="e">
        <f t="shared" si="456"/>
        <v>#REF!</v>
      </c>
      <c r="AR192" s="43" t="e">
        <f t="shared" si="305"/>
        <v>#REF!</v>
      </c>
    </row>
    <row r="193" ht="17" customHeight="1">
      <c r="A193" s="46">
        <v>128</v>
      </c>
      <c r="B193" s="82" t="s">
        <v>230</v>
      </c>
      <c r="C193" s="46" t="s">
        <v>90</v>
      </c>
      <c r="D193" s="46">
        <v>2018</v>
      </c>
      <c r="E193" s="46"/>
      <c r="F193" s="46" t="s">
        <v>146</v>
      </c>
      <c r="G193" s="73">
        <f t="shared" si="461"/>
        <v>1379</v>
      </c>
      <c r="H193" s="73">
        <f t="shared" si="462"/>
        <v>759.48319370354102</v>
      </c>
      <c r="I193" s="73">
        <v>36967</v>
      </c>
      <c r="J193" s="59">
        <f t="shared" si="449"/>
        <v>22180.200000000001</v>
      </c>
      <c r="K193" s="59">
        <f t="shared" si="450"/>
        <v>0</v>
      </c>
      <c r="L193" s="59">
        <f t="shared" si="451"/>
        <v>0</v>
      </c>
      <c r="M193" s="59">
        <f t="shared" si="452"/>
        <v>22180.200000000001</v>
      </c>
      <c r="N193" s="59">
        <f t="shared" si="453"/>
        <v>0</v>
      </c>
      <c r="O193" s="59">
        <f t="shared" si="454"/>
        <v>0</v>
      </c>
      <c r="P193" s="59">
        <v>3302</v>
      </c>
      <c r="Q193" s="59">
        <v>4547</v>
      </c>
      <c r="R193" s="59">
        <f t="shared" si="463"/>
        <v>3637.5999999999999</v>
      </c>
      <c r="S193" s="59"/>
      <c r="T193" s="59"/>
      <c r="U193" s="59">
        <f t="shared" si="444"/>
        <v>3637.5999999999999</v>
      </c>
      <c r="V193" s="59"/>
      <c r="W193" s="59">
        <f t="shared" si="464"/>
        <v>395.76204237942301</v>
      </c>
      <c r="X193" s="61">
        <v>13484</v>
      </c>
      <c r="Y193" s="62">
        <f t="shared" si="465"/>
        <v>0</v>
      </c>
      <c r="Z193" s="59">
        <f t="shared" si="466"/>
        <v>0</v>
      </c>
      <c r="AA193" s="59">
        <v>7</v>
      </c>
      <c r="AB193" s="59">
        <f>VLOOKUP(B:B,小康村到县资金!C:I,7,0)</f>
        <v>633.088235294117</v>
      </c>
      <c r="AC193" s="59">
        <v>633.088235294117</v>
      </c>
      <c r="AD193" s="61"/>
      <c r="AE193" s="59">
        <f t="shared" si="470"/>
        <v>0</v>
      </c>
      <c r="AF193" s="59"/>
      <c r="AG193" s="59"/>
      <c r="AH193" s="59"/>
      <c r="AI193" s="59"/>
      <c r="AJ193" s="62" t="e">
        <f>VLOOKUP(B:B,表6资金使用成效（12月30日）!B:L,11,0)</f>
        <v>#REF!</v>
      </c>
      <c r="AK193" s="59" t="e">
        <f t="shared" si="467"/>
        <v>#REF!</v>
      </c>
      <c r="AL193" s="61">
        <v>92.120000000000005</v>
      </c>
      <c r="AM193" s="59">
        <f t="shared" si="468"/>
        <v>61.195941605839401</v>
      </c>
      <c r="AN193" s="53" t="e">
        <f t="shared" si="469"/>
        <v>#REF!</v>
      </c>
      <c r="AO193" s="53" t="e">
        <f t="shared" si="455"/>
        <v>#REF!</v>
      </c>
      <c r="AP193" s="42" t="e">
        <f t="shared" si="304"/>
        <v>#REF!</v>
      </c>
      <c r="AQ193" s="59" t="e">
        <f t="shared" si="456"/>
        <v>#REF!</v>
      </c>
      <c r="AR193" s="43" t="e">
        <f t="shared" si="305"/>
        <v>#REF!</v>
      </c>
    </row>
    <row r="194" ht="17" customHeight="1">
      <c r="A194" s="46">
        <v>129</v>
      </c>
      <c r="B194" s="82" t="s">
        <v>231</v>
      </c>
      <c r="C194" s="46" t="s">
        <v>90</v>
      </c>
      <c r="D194" s="46">
        <v>2018</v>
      </c>
      <c r="E194" s="46" t="s">
        <v>91</v>
      </c>
      <c r="F194" s="46" t="s">
        <v>146</v>
      </c>
      <c r="G194" s="73">
        <f t="shared" si="461"/>
        <v>3288</v>
      </c>
      <c r="H194" s="73">
        <f t="shared" si="462"/>
        <v>1810.86348143382</v>
      </c>
      <c r="I194" s="73">
        <v>40066</v>
      </c>
      <c r="J194" s="59">
        <f t="shared" si="449"/>
        <v>24039.599999999999</v>
      </c>
      <c r="K194" s="59">
        <f t="shared" si="450"/>
        <v>0</v>
      </c>
      <c r="L194" s="59">
        <f t="shared" si="451"/>
        <v>0</v>
      </c>
      <c r="M194" s="59">
        <f t="shared" si="452"/>
        <v>24039.599999999999</v>
      </c>
      <c r="N194" s="59">
        <f t="shared" si="453"/>
        <v>0</v>
      </c>
      <c r="O194" s="59">
        <f t="shared" si="454"/>
        <v>0</v>
      </c>
      <c r="P194" s="59">
        <v>5135</v>
      </c>
      <c r="Q194" s="59">
        <v>1570</v>
      </c>
      <c r="R194" s="59">
        <f t="shared" si="463"/>
        <v>942</v>
      </c>
      <c r="S194" s="59"/>
      <c r="T194" s="59">
        <f>Q194*0.6</f>
        <v>942</v>
      </c>
      <c r="U194" s="59"/>
      <c r="V194" s="59"/>
      <c r="W194" s="59">
        <f t="shared" si="464"/>
        <v>408.645186979068</v>
      </c>
      <c r="X194" s="61">
        <v>12401</v>
      </c>
      <c r="Y194" s="62">
        <f t="shared" si="465"/>
        <v>8.34437086092715e-002</v>
      </c>
      <c r="Z194" s="59">
        <f t="shared" si="466"/>
        <v>207.55350990254601</v>
      </c>
      <c r="AA194" s="59">
        <v>23</v>
      </c>
      <c r="AB194" s="59">
        <f>VLOOKUP(B:B,小康村到县资金!C:I,7,0)</f>
        <v>13786.147058823501</v>
      </c>
      <c r="AC194" s="59">
        <v>13786.147058823501</v>
      </c>
      <c r="AD194" s="61">
        <f>J194</f>
        <v>24039.599999999999</v>
      </c>
      <c r="AE194" s="59"/>
      <c r="AF194" s="59"/>
      <c r="AG194" s="59"/>
      <c r="AH194" s="59"/>
      <c r="AI194" s="59"/>
      <c r="AJ194" s="62" t="e">
        <f>VLOOKUP(B:B,表6资金使用成效（12月30日）!B:L,11,0)</f>
        <v>#REF!</v>
      </c>
      <c r="AK194" s="59" t="e">
        <f t="shared" si="467"/>
        <v>#REF!</v>
      </c>
      <c r="AL194" s="61">
        <v>92.530000000000001</v>
      </c>
      <c r="AM194" s="59">
        <f t="shared" si="468"/>
        <v>61.468307390233598</v>
      </c>
      <c r="AN194" s="53" t="e">
        <f t="shared" si="469"/>
        <v>#REF!</v>
      </c>
      <c r="AO194" s="53" t="e">
        <f t="shared" si="455"/>
        <v>#REF!</v>
      </c>
      <c r="AP194" s="42" t="e">
        <f t="shared" si="304"/>
        <v>#REF!</v>
      </c>
      <c r="AQ194" s="59" t="e">
        <f t="shared" si="456"/>
        <v>#REF!</v>
      </c>
      <c r="AR194" s="43" t="e">
        <f t="shared" si="305"/>
        <v>#REF!</v>
      </c>
    </row>
    <row r="196">
      <c r="B196" s="1"/>
    </row>
  </sheetData>
  <autoFilter ref="A1:AT194"/>
  <mergeCells count="34">
    <mergeCell ref="A2:AR2"/>
    <mergeCell ref="I4:W4"/>
    <mergeCell ref="I5:O5"/>
    <mergeCell ref="Q5:V5"/>
    <mergeCell ref="J6:O6"/>
    <mergeCell ref="R6:V6"/>
    <mergeCell ref="AA6:AC6"/>
    <mergeCell ref="AD6:AF6"/>
    <mergeCell ref="AG6:AH6"/>
    <mergeCell ref="AJ6:AK6"/>
    <mergeCell ref="AL6:AM6"/>
    <mergeCell ref="A4:A7"/>
    <mergeCell ref="B4:B7"/>
    <mergeCell ref="C4:C7"/>
    <mergeCell ref="D4:D7"/>
    <mergeCell ref="E4:E7"/>
    <mergeCell ref="F4:F7"/>
    <mergeCell ref="G4:G7"/>
    <mergeCell ref="H4:H7"/>
    <mergeCell ref="I6:I7"/>
    <mergeCell ref="P5:P7"/>
    <mergeCell ref="Q6:Q7"/>
    <mergeCell ref="W5:W7"/>
    <mergeCell ref="X6:X7"/>
    <mergeCell ref="Y6:Y7"/>
    <mergeCell ref="Z6:Z7"/>
    <mergeCell ref="AN4:AN7"/>
    <mergeCell ref="AO4:AO7"/>
    <mergeCell ref="AP4:AP7"/>
    <mergeCell ref="AQ4:AQ7"/>
    <mergeCell ref="AR4:AR7"/>
    <mergeCell ref="X4:Z5"/>
    <mergeCell ref="AJ4:AM5"/>
    <mergeCell ref="AA4:AI5"/>
  </mergeCells>
  <printOptions headings="0" gridLines="0"/>
  <pageMargins left="0.75138888888888899" right="0.75138888888888899" top="1" bottom="1" header="0.5" footer="0.5"/>
  <pageSetup paperSize="8" scale="40" fitToWidth="1" fitToHeight="0" pageOrder="downThenOver" orientation="landscape" usePrinterDefaults="1" blackAndWhite="0" draft="0" cellComments="none" useFirstPageNumber="0" errors="displayed" horizontalDpi="600" verticalDpi="600" copies="1"/>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0">
    <outlinePr applyStyles="0" summaryBelow="1" summaryRight="1" showOutlineSymbols="1"/>
    <pageSetUpPr autoPageBreaks="1" fitToPage="0"/>
  </sheetPr>
  <sheetViews>
    <sheetView zoomScale="100" workbookViewId="0">
      <selection activeCell="I31" activeCellId="0" sqref="I31"/>
    </sheetView>
  </sheetViews>
  <sheetFormatPr defaultColWidth="9" defaultRowHeight="14.25" outlineLevelCol="5"/>
  <cols>
    <col min="1" max="1" style="257" width="9"/>
    <col customWidth="1" min="2" max="2" style="257" width="24.875"/>
    <col min="3" max="5" style="257" width="9"/>
    <col min="6" max="6" style="258" width="9"/>
  </cols>
  <sheetData>
    <row r="1" ht="15.75">
      <c r="A1" s="259"/>
      <c r="B1" s="259"/>
      <c r="C1" s="259"/>
      <c r="D1" s="259"/>
      <c r="E1" s="259"/>
      <c r="F1" s="260"/>
    </row>
    <row r="2" ht="31.5">
      <c r="A2" s="261"/>
      <c r="B2" s="261"/>
      <c r="C2" s="261"/>
      <c r="D2" s="261"/>
      <c r="E2" s="261"/>
      <c r="F2" s="262"/>
    </row>
    <row r="3" ht="13.5">
      <c r="A3" s="263" t="s">
        <v>1149</v>
      </c>
      <c r="B3" s="263"/>
      <c r="C3" s="263"/>
      <c r="D3" s="263"/>
      <c r="E3" s="263"/>
      <c r="F3" s="264"/>
    </row>
    <row r="4" ht="13.5">
      <c r="A4" s="265"/>
      <c r="B4" s="265"/>
      <c r="C4" s="265"/>
      <c r="D4" s="265"/>
      <c r="E4" s="265"/>
      <c r="F4" s="266"/>
    </row>
    <row r="5" ht="31.5">
      <c r="A5" s="267" t="s">
        <v>1150</v>
      </c>
      <c r="B5" s="267" t="s">
        <v>1151</v>
      </c>
      <c r="C5" s="267"/>
      <c r="D5" s="267"/>
      <c r="E5" s="267"/>
      <c r="F5" s="268"/>
    </row>
    <row r="6" ht="15.75">
      <c r="A6" s="267"/>
      <c r="B6" s="267" t="s">
        <v>1152</v>
      </c>
      <c r="C6" s="267" t="s">
        <v>1153</v>
      </c>
      <c r="D6" s="267"/>
      <c r="E6" s="267"/>
      <c r="F6" s="268"/>
    </row>
    <row r="7" ht="13.5">
      <c r="A7" s="267"/>
      <c r="B7" s="267"/>
      <c r="C7" s="267" t="s">
        <v>1154</v>
      </c>
      <c r="D7" s="267" t="s">
        <v>1155</v>
      </c>
      <c r="E7" s="267" t="s">
        <v>1156</v>
      </c>
      <c r="F7" s="268"/>
    </row>
    <row r="8" ht="13.5">
      <c r="A8" s="267"/>
      <c r="B8" s="267"/>
      <c r="C8" s="267"/>
      <c r="D8" s="267"/>
      <c r="E8" s="267"/>
      <c r="F8" s="268"/>
    </row>
    <row r="9" ht="15.75">
      <c r="A9" s="267"/>
      <c r="B9" s="267"/>
      <c r="C9" s="267"/>
      <c r="D9" s="267"/>
      <c r="E9" s="267" t="s">
        <v>1154</v>
      </c>
      <c r="F9" s="268" t="s">
        <v>1155</v>
      </c>
    </row>
    <row r="10" ht="15.75">
      <c r="A10" s="267"/>
      <c r="B10" s="267"/>
      <c r="C10" s="267">
        <f t="shared" ref="C10:F10" si="1181">SUM(C11:C29)</f>
        <v>88183</v>
      </c>
      <c r="D10" s="267">
        <f t="shared" si="1181"/>
        <v>370086</v>
      </c>
      <c r="E10" s="267">
        <f t="shared" si="1181"/>
        <v>76723</v>
      </c>
      <c r="F10" s="268">
        <f t="shared" si="1181"/>
        <v>324401</v>
      </c>
    </row>
    <row r="11" ht="13.5">
      <c r="A11" s="269" t="s">
        <v>85</v>
      </c>
      <c r="B11" s="270" t="s">
        <v>1157</v>
      </c>
      <c r="C11" s="269">
        <v>9100</v>
      </c>
      <c r="D11" s="269">
        <v>39080</v>
      </c>
      <c r="E11" s="269">
        <v>8346</v>
      </c>
      <c r="F11" s="271">
        <v>35835</v>
      </c>
    </row>
    <row r="12" ht="22.5">
      <c r="A12" s="269" t="s">
        <v>84</v>
      </c>
      <c r="B12" s="270" t="s">
        <v>1158</v>
      </c>
      <c r="C12" s="269">
        <v>9118</v>
      </c>
      <c r="D12" s="269">
        <v>40019</v>
      </c>
      <c r="E12" s="269">
        <v>6959</v>
      </c>
      <c r="F12" s="271">
        <v>31090</v>
      </c>
    </row>
    <row r="13" ht="13.5">
      <c r="A13" s="269" t="s">
        <v>96</v>
      </c>
      <c r="B13" s="270" t="s">
        <v>1159</v>
      </c>
      <c r="C13" s="269">
        <v>5630</v>
      </c>
      <c r="D13" s="269">
        <v>25725</v>
      </c>
      <c r="E13" s="269">
        <v>5390</v>
      </c>
      <c r="F13" s="271">
        <v>24626</v>
      </c>
    </row>
    <row r="14" ht="22.5">
      <c r="A14" s="269" t="s">
        <v>84</v>
      </c>
      <c r="B14" s="270" t="s">
        <v>1160</v>
      </c>
      <c r="C14" s="269">
        <v>5304</v>
      </c>
      <c r="D14" s="269">
        <v>22751</v>
      </c>
      <c r="E14" s="269">
        <v>5085</v>
      </c>
      <c r="F14" s="271">
        <v>21866</v>
      </c>
    </row>
    <row r="15" ht="13.5">
      <c r="A15" s="269" t="s">
        <v>87</v>
      </c>
      <c r="B15" s="270" t="s">
        <v>1161</v>
      </c>
      <c r="C15" s="269">
        <v>3079</v>
      </c>
      <c r="D15" s="269">
        <v>14111</v>
      </c>
      <c r="E15" s="269">
        <v>3079</v>
      </c>
      <c r="F15" s="271">
        <v>14111</v>
      </c>
    </row>
    <row r="16" ht="22.5">
      <c r="A16" s="269" t="s">
        <v>89</v>
      </c>
      <c r="B16" s="270" t="s">
        <v>1162</v>
      </c>
      <c r="C16" s="269">
        <v>3542</v>
      </c>
      <c r="D16" s="269">
        <v>14668</v>
      </c>
      <c r="E16" s="269">
        <v>3088</v>
      </c>
      <c r="F16" s="271">
        <v>12853</v>
      </c>
    </row>
    <row r="17" ht="13.5">
      <c r="A17" s="269" t="s">
        <v>95</v>
      </c>
      <c r="B17" s="270" t="s">
        <v>1163</v>
      </c>
      <c r="C17" s="269">
        <v>2926</v>
      </c>
      <c r="D17" s="269">
        <v>13206</v>
      </c>
      <c r="E17" s="269">
        <v>2818</v>
      </c>
      <c r="F17" s="271">
        <v>12753</v>
      </c>
    </row>
    <row r="18" ht="13.5">
      <c r="A18" s="269" t="s">
        <v>95</v>
      </c>
      <c r="B18" s="270" t="s">
        <v>1164</v>
      </c>
      <c r="C18" s="269">
        <v>2282</v>
      </c>
      <c r="D18" s="269">
        <v>10370</v>
      </c>
      <c r="E18" s="269">
        <v>2271</v>
      </c>
      <c r="F18" s="271">
        <v>10318</v>
      </c>
    </row>
    <row r="19" ht="13.5">
      <c r="A19" s="269" t="s">
        <v>95</v>
      </c>
      <c r="B19" s="270" t="s">
        <v>1165</v>
      </c>
      <c r="C19" s="269">
        <v>2164</v>
      </c>
      <c r="D19" s="269">
        <v>10266</v>
      </c>
      <c r="E19" s="269">
        <v>2113</v>
      </c>
      <c r="F19" s="271">
        <v>10027</v>
      </c>
    </row>
    <row r="20" ht="13.5">
      <c r="A20" s="269" t="s">
        <v>107</v>
      </c>
      <c r="B20" s="270" t="s">
        <v>1166</v>
      </c>
      <c r="C20" s="269">
        <v>5191</v>
      </c>
      <c r="D20" s="269">
        <v>20361</v>
      </c>
      <c r="E20" s="269">
        <v>5191</v>
      </c>
      <c r="F20" s="271">
        <v>20361</v>
      </c>
    </row>
    <row r="21" ht="13.5">
      <c r="A21" s="269" t="s">
        <v>107</v>
      </c>
      <c r="B21" s="270" t="s">
        <v>1167</v>
      </c>
      <c r="C21" s="269">
        <v>3471</v>
      </c>
      <c r="D21" s="269">
        <v>15343</v>
      </c>
      <c r="E21" s="269">
        <v>3471</v>
      </c>
      <c r="F21" s="271">
        <v>15343</v>
      </c>
    </row>
    <row r="22" ht="13.5">
      <c r="A22" s="269" t="s">
        <v>107</v>
      </c>
      <c r="B22" s="270" t="s">
        <v>1168</v>
      </c>
      <c r="C22" s="269">
        <v>6892</v>
      </c>
      <c r="D22" s="269">
        <v>29656</v>
      </c>
      <c r="E22" s="269">
        <v>3128</v>
      </c>
      <c r="F22" s="271">
        <v>14005</v>
      </c>
    </row>
    <row r="23" ht="13.5">
      <c r="A23" s="269" t="s">
        <v>107</v>
      </c>
      <c r="B23" s="270" t="s">
        <v>1169</v>
      </c>
      <c r="C23" s="269">
        <v>3703</v>
      </c>
      <c r="D23" s="269">
        <v>15897</v>
      </c>
      <c r="E23" s="269">
        <v>3004</v>
      </c>
      <c r="F23" s="271">
        <v>13059</v>
      </c>
    </row>
    <row r="24" ht="13.5">
      <c r="A24" s="269" t="s">
        <v>109</v>
      </c>
      <c r="B24" s="270" t="s">
        <v>1170</v>
      </c>
      <c r="C24" s="269">
        <v>3773</v>
      </c>
      <c r="D24" s="269">
        <v>12495</v>
      </c>
      <c r="E24" s="269">
        <v>3773</v>
      </c>
      <c r="F24" s="271">
        <v>12495</v>
      </c>
    </row>
    <row r="25" ht="13.5">
      <c r="A25" s="269" t="s">
        <v>216</v>
      </c>
      <c r="B25" s="270" t="s">
        <v>1171</v>
      </c>
      <c r="C25" s="269">
        <v>8187</v>
      </c>
      <c r="D25" s="269">
        <v>31448</v>
      </c>
      <c r="E25" s="269">
        <v>7474</v>
      </c>
      <c r="F25" s="271">
        <v>28689</v>
      </c>
    </row>
    <row r="26" ht="13.5">
      <c r="A26" s="269" t="s">
        <v>214</v>
      </c>
      <c r="B26" s="270" t="s">
        <v>1172</v>
      </c>
      <c r="C26" s="269">
        <v>3019</v>
      </c>
      <c r="D26" s="269">
        <v>13334</v>
      </c>
      <c r="E26" s="269">
        <v>3019</v>
      </c>
      <c r="F26" s="271">
        <v>13334</v>
      </c>
    </row>
    <row r="27" ht="13.5">
      <c r="A27" s="269" t="s">
        <v>213</v>
      </c>
      <c r="B27" s="270" t="s">
        <v>1173</v>
      </c>
      <c r="C27" s="269">
        <v>2566</v>
      </c>
      <c r="D27" s="269">
        <v>10012</v>
      </c>
      <c r="E27" s="269">
        <v>2566</v>
      </c>
      <c r="F27" s="271">
        <v>10012</v>
      </c>
    </row>
    <row r="28" ht="13.5">
      <c r="A28" s="269" t="s">
        <v>210</v>
      </c>
      <c r="B28" s="270" t="s">
        <v>1174</v>
      </c>
      <c r="C28" s="269">
        <v>2708</v>
      </c>
      <c r="D28" s="269">
        <v>11772</v>
      </c>
      <c r="E28" s="269">
        <v>2708</v>
      </c>
      <c r="F28" s="271">
        <v>11772</v>
      </c>
    </row>
    <row r="29" ht="13.5">
      <c r="A29" s="269" t="s">
        <v>65</v>
      </c>
      <c r="B29" s="270" t="s">
        <v>1175</v>
      </c>
      <c r="C29" s="269">
        <v>5528</v>
      </c>
      <c r="D29" s="269">
        <v>19572</v>
      </c>
      <c r="E29" s="269">
        <v>3240</v>
      </c>
      <c r="F29" s="271">
        <v>11852</v>
      </c>
    </row>
  </sheetData>
  <mergeCells count="7">
    <mergeCell ref="A3:F3"/>
    <mergeCell ref="C6:F6"/>
    <mergeCell ref="A5:A9"/>
    <mergeCell ref="B6:B9"/>
    <mergeCell ref="C7:C9"/>
    <mergeCell ref="D7:D9"/>
    <mergeCell ref="E7:F8"/>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1">
    <outlinePr applyStyles="0" summaryBelow="1" summaryRight="1" showOutlineSymbols="1"/>
    <pageSetUpPr autoPageBreaks="1" fitToPage="0"/>
  </sheetPr>
  <sheetViews>
    <sheetView zoomScale="100" workbookViewId="0">
      <selection activeCell="A3" activeCellId="0" sqref="A3:F126"/>
    </sheetView>
  </sheetViews>
  <sheetFormatPr defaultColWidth="9" defaultRowHeight="14.25" outlineLevelCol="5"/>
  <cols>
    <col min="1" max="1" style="257" width="9"/>
    <col customWidth="1" min="2" max="2" style="257" width="24"/>
    <col customWidth="1" min="3" max="5" style="257" width="9.375"/>
    <col customWidth="1" min="6" max="6" style="258" width="9.375"/>
  </cols>
  <sheetData>
    <row r="1" ht="15.75">
      <c r="A1" s="259"/>
      <c r="B1" s="259"/>
      <c r="C1" s="259"/>
      <c r="D1" s="259"/>
      <c r="E1" s="259"/>
      <c r="F1" s="260"/>
    </row>
    <row r="2" ht="31.5">
      <c r="A2" s="261"/>
      <c r="B2" s="261"/>
      <c r="C2" s="261"/>
      <c r="D2" s="261"/>
      <c r="E2" s="261"/>
      <c r="F2" s="262"/>
    </row>
    <row r="3" ht="31.5">
      <c r="A3" s="272" t="s">
        <v>1176</v>
      </c>
      <c r="B3" s="272"/>
      <c r="C3" s="272"/>
      <c r="D3" s="272"/>
      <c r="E3" s="272"/>
      <c r="F3" s="262"/>
    </row>
    <row r="4" ht="13.5">
      <c r="A4" s="273"/>
      <c r="B4" s="273"/>
      <c r="C4" s="273"/>
      <c r="D4" s="273"/>
      <c r="E4" s="273"/>
      <c r="F4" s="274"/>
    </row>
    <row r="5" ht="31.5">
      <c r="A5" s="267" t="s">
        <v>1150</v>
      </c>
      <c r="B5" s="267" t="s">
        <v>1151</v>
      </c>
      <c r="C5" s="267"/>
      <c r="D5" s="267"/>
      <c r="E5" s="267"/>
      <c r="F5" s="268"/>
    </row>
    <row r="6" ht="15.75">
      <c r="A6" s="267"/>
      <c r="B6" s="267" t="s">
        <v>1177</v>
      </c>
      <c r="C6" s="267" t="s">
        <v>1153</v>
      </c>
      <c r="D6" s="267"/>
      <c r="E6" s="267"/>
      <c r="F6" s="268"/>
    </row>
    <row r="7" ht="13.5">
      <c r="A7" s="267"/>
      <c r="B7" s="267"/>
      <c r="C7" s="267" t="s">
        <v>1154</v>
      </c>
      <c r="D7" s="267" t="s">
        <v>1155</v>
      </c>
      <c r="E7" s="267" t="s">
        <v>1156</v>
      </c>
      <c r="F7" s="268"/>
    </row>
    <row r="8" ht="13.5">
      <c r="A8" s="267"/>
      <c r="B8" s="267"/>
      <c r="C8" s="267"/>
      <c r="D8" s="267"/>
      <c r="E8" s="267"/>
      <c r="F8" s="268"/>
    </row>
    <row r="9" ht="15.75">
      <c r="A9" s="267"/>
      <c r="B9" s="267"/>
      <c r="C9" s="267"/>
      <c r="D9" s="267"/>
      <c r="E9" s="267" t="s">
        <v>1154</v>
      </c>
      <c r="F9" s="268" t="s">
        <v>1155</v>
      </c>
    </row>
    <row r="10" ht="13.5">
      <c r="A10" s="275" t="s">
        <v>144</v>
      </c>
      <c r="B10" s="276" t="s">
        <v>1178</v>
      </c>
      <c r="C10" s="275">
        <v>1731</v>
      </c>
      <c r="D10" s="275">
        <v>8105</v>
      </c>
      <c r="E10" s="275">
        <v>1310</v>
      </c>
      <c r="F10" s="277">
        <v>6134</v>
      </c>
    </row>
    <row r="11" ht="13.5">
      <c r="A11" s="275" t="s">
        <v>216</v>
      </c>
      <c r="B11" s="276" t="s">
        <v>1179</v>
      </c>
      <c r="C11" s="275">
        <v>1526</v>
      </c>
      <c r="D11" s="275">
        <v>5535</v>
      </c>
      <c r="E11" s="275">
        <v>1461</v>
      </c>
      <c r="F11" s="277">
        <v>5324</v>
      </c>
    </row>
    <row r="12" ht="13.5">
      <c r="A12" s="275" t="s">
        <v>95</v>
      </c>
      <c r="B12" s="276" t="s">
        <v>1180</v>
      </c>
      <c r="C12" s="275">
        <v>1119</v>
      </c>
      <c r="D12" s="275">
        <v>5252</v>
      </c>
      <c r="E12" s="275">
        <v>1116</v>
      </c>
      <c r="F12" s="277">
        <v>5240</v>
      </c>
    </row>
    <row r="13" ht="13.5">
      <c r="A13" s="275" t="s">
        <v>95</v>
      </c>
      <c r="B13" s="276" t="s">
        <v>1181</v>
      </c>
      <c r="C13" s="275">
        <v>1061</v>
      </c>
      <c r="D13" s="275">
        <v>4964</v>
      </c>
      <c r="E13" s="275">
        <v>1051</v>
      </c>
      <c r="F13" s="277">
        <v>4926</v>
      </c>
    </row>
    <row r="14" ht="22.5">
      <c r="A14" s="275" t="s">
        <v>92</v>
      </c>
      <c r="B14" s="276" t="s">
        <v>1182</v>
      </c>
      <c r="C14" s="275">
        <v>1729</v>
      </c>
      <c r="D14" s="275">
        <v>6574</v>
      </c>
      <c r="E14" s="275">
        <v>1280</v>
      </c>
      <c r="F14" s="277">
        <v>4819</v>
      </c>
    </row>
    <row r="15" ht="13.5">
      <c r="A15" s="275" t="s">
        <v>213</v>
      </c>
      <c r="B15" s="276" t="s">
        <v>1183</v>
      </c>
      <c r="C15" s="275">
        <v>1142</v>
      </c>
      <c r="D15" s="275">
        <v>4291</v>
      </c>
      <c r="E15" s="275">
        <v>1087</v>
      </c>
      <c r="F15" s="277">
        <v>4103</v>
      </c>
    </row>
    <row r="16" ht="13.5">
      <c r="A16" s="275" t="s">
        <v>95</v>
      </c>
      <c r="B16" s="276" t="s">
        <v>1184</v>
      </c>
      <c r="C16" s="275">
        <v>933</v>
      </c>
      <c r="D16" s="275">
        <v>4187</v>
      </c>
      <c r="E16" s="275">
        <v>890</v>
      </c>
      <c r="F16" s="277">
        <v>4011</v>
      </c>
    </row>
    <row r="17" ht="22.5">
      <c r="A17" s="275" t="s">
        <v>193</v>
      </c>
      <c r="B17" s="276" t="s">
        <v>1185</v>
      </c>
      <c r="C17" s="275">
        <v>907</v>
      </c>
      <c r="D17" s="275">
        <v>3956</v>
      </c>
      <c r="E17" s="275">
        <v>907</v>
      </c>
      <c r="F17" s="277">
        <v>3956</v>
      </c>
    </row>
    <row r="18" ht="13.5">
      <c r="A18" s="275" t="s">
        <v>97</v>
      </c>
      <c r="B18" s="276" t="s">
        <v>1186</v>
      </c>
      <c r="C18" s="275">
        <v>884</v>
      </c>
      <c r="D18" s="275">
        <v>3927</v>
      </c>
      <c r="E18" s="275">
        <v>872</v>
      </c>
      <c r="F18" s="277">
        <v>3870</v>
      </c>
    </row>
    <row r="19" ht="13.5">
      <c r="A19" s="275" t="s">
        <v>213</v>
      </c>
      <c r="B19" s="276" t="s">
        <v>1187</v>
      </c>
      <c r="C19" s="275">
        <v>1036</v>
      </c>
      <c r="D19" s="275">
        <v>3795</v>
      </c>
      <c r="E19" s="275">
        <v>1025</v>
      </c>
      <c r="F19" s="277">
        <v>3760</v>
      </c>
    </row>
    <row r="20" ht="22.5">
      <c r="A20" s="275" t="s">
        <v>213</v>
      </c>
      <c r="B20" s="276" t="s">
        <v>1188</v>
      </c>
      <c r="C20" s="275">
        <v>918</v>
      </c>
      <c r="D20" s="275">
        <v>3454</v>
      </c>
      <c r="E20" s="275">
        <v>892</v>
      </c>
      <c r="F20" s="277">
        <v>3391</v>
      </c>
    </row>
    <row r="21" ht="22.5">
      <c r="A21" s="275" t="s">
        <v>84</v>
      </c>
      <c r="B21" s="276" t="s">
        <v>1189</v>
      </c>
      <c r="C21" s="275">
        <v>735</v>
      </c>
      <c r="D21" s="275">
        <v>3309</v>
      </c>
      <c r="E21" s="275">
        <v>735</v>
      </c>
      <c r="F21" s="277">
        <v>3309</v>
      </c>
    </row>
    <row r="22" ht="13.5">
      <c r="A22" s="275" t="s">
        <v>87</v>
      </c>
      <c r="B22" s="276" t="s">
        <v>1190</v>
      </c>
      <c r="C22" s="275">
        <v>790</v>
      </c>
      <c r="D22" s="275">
        <v>3560</v>
      </c>
      <c r="E22" s="275">
        <v>671</v>
      </c>
      <c r="F22" s="277">
        <v>3084</v>
      </c>
    </row>
    <row r="23" ht="13.5">
      <c r="A23" s="275" t="s">
        <v>142</v>
      </c>
      <c r="B23" s="276" t="s">
        <v>1191</v>
      </c>
      <c r="C23" s="275">
        <v>1284</v>
      </c>
      <c r="D23" s="275">
        <v>4983</v>
      </c>
      <c r="E23" s="275">
        <v>776</v>
      </c>
      <c r="F23" s="277">
        <v>3027</v>
      </c>
    </row>
  </sheetData>
  <mergeCells count="7">
    <mergeCell ref="A3:E3"/>
    <mergeCell ref="C6:F6"/>
    <mergeCell ref="A5:A9"/>
    <mergeCell ref="B6:B9"/>
    <mergeCell ref="C7:C9"/>
    <mergeCell ref="D7:D9"/>
    <mergeCell ref="E7:F8"/>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2">
    <outlinePr applyStyles="0" summaryBelow="1" summaryRight="1" showOutlineSymbols="1"/>
    <pageSetUpPr autoPageBreaks="1" fitToPage="0"/>
  </sheetPr>
  <sheetViews>
    <sheetView zoomScale="100" workbookViewId="0">
      <selection activeCell="B3" activeCellId="0" sqref="A3:D126"/>
    </sheetView>
  </sheetViews>
  <sheetFormatPr defaultColWidth="8" defaultRowHeight="13.5"/>
  <cols>
    <col customWidth="1" min="1" max="1" style="202" width="5.625"/>
    <col min="2" max="4" style="278" width="13.641666666666699"/>
    <col customWidth="1" min="5" max="5" style="278" width="18.125"/>
    <col customWidth="1" min="6" max="6" style="202" width="9.2583333333333293"/>
    <col customWidth="1" min="7" max="7" style="202" width="9.375"/>
    <col min="8" max="8" style="202" width="9.2583333333333293"/>
    <col customWidth="1" min="9" max="9" style="202" width="10.125"/>
    <col min="10" max="10" style="202" width="9.2583333333333293"/>
    <col customWidth="1" min="11" max="11" style="202" width="11.258333333333301"/>
    <col min="12" max="12" style="202" width="10.5"/>
    <col customWidth="1" min="13" max="15" style="202" width="10.258333333333301"/>
    <col customWidth="1" min="16" max="16" style="202" width="9.125"/>
    <col customWidth="1" min="17" max="17" style="202" width="11.258333333333301"/>
    <col min="18" max="21" style="202" width="8"/>
    <col min="22" max="22" style="202" width="9.2583333333333293"/>
    <col min="23" max="23" style="202" width="8"/>
    <col min="24" max="25" style="279" width="8"/>
    <col customWidth="1" min="26" max="26" style="202" width="15.625"/>
    <col customWidth="1" min="27" max="27" style="202" width="8.875"/>
    <col customWidth="1" min="28" max="28" style="202" width="9.7583333333333293"/>
    <col min="29" max="29" style="202" width="10.125"/>
    <col customWidth="1" min="30" max="30" style="202" width="9.125"/>
    <col min="31" max="32" style="202" width="8"/>
    <col min="33" max="33" style="279" width="8"/>
    <col min="34" max="16381" style="202" width="8"/>
  </cols>
  <sheetData>
    <row r="1" s="202" customFormat="1" ht="20.25">
      <c r="A1" s="280" t="s">
        <v>1192</v>
      </c>
      <c r="B1" s="280"/>
      <c r="C1" s="280"/>
      <c r="D1" s="280"/>
      <c r="E1" s="280"/>
      <c r="F1" s="280"/>
      <c r="G1" s="280"/>
      <c r="H1" s="280"/>
      <c r="I1" s="280"/>
      <c r="J1" s="280"/>
      <c r="K1" s="280"/>
      <c r="L1" s="280"/>
      <c r="M1" s="280"/>
      <c r="N1" s="280"/>
      <c r="O1" s="280"/>
      <c r="P1" s="280"/>
      <c r="Q1" s="280"/>
      <c r="X1" s="281" t="s">
        <v>1193</v>
      </c>
      <c r="Y1" s="281" t="s">
        <v>1194</v>
      </c>
      <c r="Z1" s="282" t="s">
        <v>1195</v>
      </c>
      <c r="AA1" s="283"/>
      <c r="AB1" s="283"/>
      <c r="AC1" s="283"/>
      <c r="AD1" s="283"/>
      <c r="AE1" s="283"/>
      <c r="AG1" s="279"/>
    </row>
    <row r="2" s="202" customFormat="1" ht="15.75">
      <c r="A2" s="284" t="s">
        <v>1196</v>
      </c>
      <c r="B2" s="284"/>
      <c r="C2" s="284"/>
      <c r="D2" s="284"/>
      <c r="E2" s="284"/>
      <c r="F2" s="284"/>
      <c r="G2" s="284"/>
      <c r="H2" s="284"/>
      <c r="I2" s="284"/>
      <c r="J2" s="284"/>
      <c r="K2" s="284"/>
      <c r="L2" s="284"/>
      <c r="M2" s="284"/>
      <c r="N2" s="284"/>
      <c r="O2" s="284"/>
      <c r="P2" s="284"/>
      <c r="Q2" s="284"/>
      <c r="X2" s="279"/>
      <c r="Y2" s="279"/>
      <c r="Z2" s="284"/>
      <c r="AA2" s="284"/>
      <c r="AB2" s="284"/>
      <c r="AC2" s="284"/>
      <c r="AD2" s="284"/>
      <c r="AE2" s="284"/>
      <c r="AG2" s="279"/>
    </row>
    <row r="3" s="285" customFormat="1" ht="59" customHeight="1">
      <c r="A3" s="286" t="s">
        <v>1197</v>
      </c>
      <c r="B3" s="286" t="s">
        <v>1198</v>
      </c>
      <c r="C3" s="286" t="s">
        <v>1199</v>
      </c>
      <c r="D3" s="286" t="s">
        <v>1200</v>
      </c>
      <c r="E3" s="286" t="s">
        <v>1201</v>
      </c>
      <c r="F3" s="287" t="s">
        <v>1202</v>
      </c>
      <c r="G3" s="286"/>
      <c r="H3" s="287" t="s">
        <v>1203</v>
      </c>
      <c r="I3" s="286"/>
      <c r="J3" s="287" t="s">
        <v>1204</v>
      </c>
      <c r="K3" s="286"/>
      <c r="L3" s="287" t="s">
        <v>1205</v>
      </c>
      <c r="M3" s="286"/>
      <c r="N3" s="288" t="s">
        <v>1206</v>
      </c>
      <c r="O3" s="289"/>
      <c r="P3" s="287" t="s">
        <v>1207</v>
      </c>
      <c r="Q3" s="286"/>
      <c r="R3" s="290" t="s">
        <v>1202</v>
      </c>
      <c r="S3" s="290" t="s">
        <v>1203</v>
      </c>
      <c r="T3" s="290" t="s">
        <v>1204</v>
      </c>
      <c r="U3" s="290" t="s">
        <v>1205</v>
      </c>
      <c r="V3" s="290" t="s">
        <v>1206</v>
      </c>
      <c r="W3" s="290" t="s">
        <v>1208</v>
      </c>
      <c r="X3" s="291" t="s">
        <v>1209</v>
      </c>
      <c r="Y3" s="291"/>
      <c r="Z3" s="292" t="s">
        <v>1210</v>
      </c>
      <c r="AA3" s="293" t="s">
        <v>1211</v>
      </c>
      <c r="AB3" s="293" t="s">
        <v>1212</v>
      </c>
      <c r="AC3" s="293" t="s">
        <v>1213</v>
      </c>
      <c r="AD3" s="293" t="s">
        <v>1214</v>
      </c>
      <c r="AE3" s="293" t="s">
        <v>1215</v>
      </c>
      <c r="AF3" s="290" t="s">
        <v>1208</v>
      </c>
      <c r="AG3" s="291" t="s">
        <v>1209</v>
      </c>
    </row>
    <row r="4" s="285" customFormat="1" ht="28.5">
      <c r="A4" s="294"/>
      <c r="B4" s="294"/>
      <c r="C4" s="294"/>
      <c r="D4" s="294"/>
      <c r="E4" s="294"/>
      <c r="F4" s="293"/>
      <c r="G4" s="293" t="s">
        <v>1216</v>
      </c>
      <c r="H4" s="293"/>
      <c r="I4" s="293" t="s">
        <v>1216</v>
      </c>
      <c r="J4" s="293"/>
      <c r="K4" s="293" t="s">
        <v>1216</v>
      </c>
      <c r="L4" s="293"/>
      <c r="M4" s="293" t="s">
        <v>1216</v>
      </c>
      <c r="N4" s="293"/>
      <c r="O4" s="293" t="s">
        <v>1216</v>
      </c>
      <c r="P4" s="293"/>
      <c r="Q4" s="293" t="s">
        <v>1216</v>
      </c>
      <c r="X4" s="295"/>
      <c r="Y4" s="295"/>
      <c r="Z4" s="296"/>
      <c r="AA4" s="297"/>
      <c r="AB4" s="297"/>
      <c r="AC4" s="297"/>
      <c r="AD4" s="297"/>
      <c r="AE4" s="297"/>
      <c r="AG4" s="295"/>
    </row>
    <row r="5" s="298" customFormat="1" ht="15.75">
      <c r="A5" s="299" t="s">
        <v>1217</v>
      </c>
      <c r="B5" s="300"/>
      <c r="C5" s="300"/>
      <c r="D5" s="301"/>
      <c r="E5" s="302">
        <v>90.034300000000002</v>
      </c>
      <c r="F5" s="302">
        <v>30.542200000000001</v>
      </c>
      <c r="G5" s="302">
        <v>15.9101</v>
      </c>
      <c r="H5" s="302">
        <v>8.2110000000000003</v>
      </c>
      <c r="I5" s="302">
        <v>3.9211</v>
      </c>
      <c r="J5" s="302">
        <v>5.1696999999999997</v>
      </c>
      <c r="K5" s="302">
        <v>2.3986000000000001</v>
      </c>
      <c r="L5" s="302">
        <v>17.1509</v>
      </c>
      <c r="M5" s="302">
        <v>9.5852000000000004</v>
      </c>
      <c r="N5" s="302">
        <v>1.04e-002</v>
      </c>
      <c r="O5" s="302">
        <v>5.1999999999999998e-003</v>
      </c>
      <c r="P5" s="302">
        <v>0.36680000000000001</v>
      </c>
      <c r="Q5" s="302">
        <v>0.27939999999999998</v>
      </c>
      <c r="X5" s="303"/>
      <c r="Y5" s="303"/>
      <c r="Z5" s="304" t="s">
        <v>1218</v>
      </c>
      <c r="AA5" s="305">
        <v>32</v>
      </c>
      <c r="AB5" s="305">
        <v>0</v>
      </c>
      <c r="AC5" s="305">
        <v>7</v>
      </c>
      <c r="AD5" s="305">
        <v>25</v>
      </c>
      <c r="AE5" s="305">
        <v>0</v>
      </c>
      <c r="AF5" s="298">
        <v>0</v>
      </c>
      <c r="AG5" s="303">
        <f>AA5+AF5</f>
        <v>32</v>
      </c>
    </row>
    <row r="6" s="298" customFormat="1" ht="15.75">
      <c r="A6" s="299"/>
      <c r="B6" s="300"/>
      <c r="C6" s="306" t="s">
        <v>1219</v>
      </c>
      <c r="D6" s="304" t="s">
        <v>1220</v>
      </c>
      <c r="E6" s="302"/>
      <c r="F6" s="302"/>
      <c r="G6" s="302"/>
      <c r="H6" s="302"/>
      <c r="I6" s="302"/>
      <c r="J6" s="302"/>
      <c r="K6" s="302"/>
      <c r="L6" s="302"/>
      <c r="M6" s="302"/>
      <c r="N6" s="302"/>
      <c r="O6" s="302"/>
      <c r="P6" s="302"/>
      <c r="Q6" s="302"/>
      <c r="X6" s="303"/>
      <c r="Y6" s="303">
        <v>1427</v>
      </c>
      <c r="Z6" s="304"/>
      <c r="AA6" s="305"/>
      <c r="AB6" s="305"/>
      <c r="AC6" s="305"/>
      <c r="AD6" s="305"/>
      <c r="AE6" s="305"/>
      <c r="AG6" s="303"/>
    </row>
    <row r="7" s="298" customFormat="1" ht="15.75">
      <c r="A7" s="299"/>
      <c r="B7" s="300"/>
      <c r="C7" s="306" t="s">
        <v>1219</v>
      </c>
      <c r="D7" s="307" t="s">
        <v>63</v>
      </c>
      <c r="E7" s="302"/>
      <c r="F7" s="302"/>
      <c r="G7" s="302"/>
      <c r="H7" s="302"/>
      <c r="I7" s="302"/>
      <c r="J7" s="302"/>
      <c r="K7" s="302"/>
      <c r="L7" s="302"/>
      <c r="M7" s="302"/>
      <c r="N7" s="302"/>
      <c r="O7" s="302"/>
      <c r="P7" s="302"/>
      <c r="Q7" s="302"/>
      <c r="X7" s="303"/>
      <c r="Y7" s="303">
        <v>261</v>
      </c>
      <c r="Z7" s="304"/>
      <c r="AA7" s="305"/>
      <c r="AB7" s="305"/>
      <c r="AC7" s="305"/>
      <c r="AD7" s="305"/>
      <c r="AE7" s="305"/>
      <c r="AG7" s="303"/>
    </row>
    <row r="8" s="298" customFormat="1" ht="15.75">
      <c r="A8" s="299"/>
      <c r="B8" s="300"/>
      <c r="C8" s="306" t="s">
        <v>1219</v>
      </c>
      <c r="D8" s="307" t="s">
        <v>67</v>
      </c>
      <c r="E8" s="302"/>
      <c r="F8" s="302"/>
      <c r="G8" s="302"/>
      <c r="H8" s="302"/>
      <c r="I8" s="302"/>
      <c r="J8" s="302"/>
      <c r="K8" s="302"/>
      <c r="L8" s="302"/>
      <c r="M8" s="302"/>
      <c r="N8" s="302"/>
      <c r="O8" s="302"/>
      <c r="P8" s="302"/>
      <c r="Q8" s="302"/>
      <c r="X8" s="303"/>
      <c r="Y8" s="303">
        <v>169</v>
      </c>
      <c r="Z8" s="304"/>
      <c r="AA8" s="305"/>
      <c r="AB8" s="305"/>
      <c r="AC8" s="305"/>
      <c r="AD8" s="305"/>
      <c r="AE8" s="305"/>
      <c r="AG8" s="303"/>
    </row>
    <row r="9" s="298" customFormat="1" ht="15.75">
      <c r="A9" s="299"/>
      <c r="B9" s="300"/>
      <c r="C9" s="306" t="s">
        <v>1219</v>
      </c>
      <c r="D9" s="307" t="s">
        <v>81</v>
      </c>
      <c r="E9" s="302"/>
      <c r="F9" s="302"/>
      <c r="G9" s="302"/>
      <c r="H9" s="302"/>
      <c r="I9" s="302"/>
      <c r="J9" s="302"/>
      <c r="K9" s="302"/>
      <c r="L9" s="302"/>
      <c r="M9" s="302"/>
      <c r="N9" s="302"/>
      <c r="O9" s="302"/>
      <c r="P9" s="302"/>
      <c r="Q9" s="302"/>
      <c r="X9" s="303"/>
      <c r="Y9" s="303">
        <v>787</v>
      </c>
      <c r="Z9" s="304"/>
      <c r="AA9" s="305"/>
      <c r="AB9" s="305"/>
      <c r="AC9" s="305"/>
      <c r="AD9" s="305"/>
      <c r="AE9" s="305"/>
      <c r="AG9" s="303"/>
    </row>
    <row r="10" s="298" customFormat="1" ht="15.75">
      <c r="A10" s="299"/>
      <c r="B10" s="300"/>
      <c r="C10" s="306" t="s">
        <v>1221</v>
      </c>
      <c r="D10" s="304" t="s">
        <v>1222</v>
      </c>
      <c r="E10" s="302"/>
      <c r="F10" s="302"/>
      <c r="G10" s="302"/>
      <c r="H10" s="302"/>
      <c r="I10" s="302"/>
      <c r="J10" s="302"/>
      <c r="K10" s="302"/>
      <c r="L10" s="302"/>
      <c r="M10" s="302"/>
      <c r="N10" s="302"/>
      <c r="O10" s="302"/>
      <c r="P10" s="302"/>
      <c r="Q10" s="302"/>
      <c r="X10" s="303"/>
      <c r="Y10" s="303">
        <v>98</v>
      </c>
      <c r="Z10" s="304"/>
      <c r="AA10" s="305"/>
      <c r="AB10" s="305"/>
      <c r="AC10" s="305"/>
      <c r="AD10" s="305"/>
      <c r="AE10" s="305"/>
      <c r="AG10" s="303"/>
    </row>
    <row r="11" s="298" customFormat="1" ht="15.75">
      <c r="A11" s="299"/>
      <c r="B11" s="300"/>
      <c r="C11" s="300"/>
      <c r="D11" s="304" t="s">
        <v>1223</v>
      </c>
      <c r="E11" s="302"/>
      <c r="F11" s="302"/>
      <c r="G11" s="302"/>
      <c r="H11" s="302"/>
      <c r="I11" s="302"/>
      <c r="J11" s="302"/>
      <c r="K11" s="302"/>
      <c r="L11" s="302"/>
      <c r="M11" s="302"/>
      <c r="N11" s="302"/>
      <c r="O11" s="302"/>
      <c r="P11" s="302"/>
      <c r="Q11" s="302"/>
      <c r="X11" s="303"/>
      <c r="Y11" s="303">
        <v>82</v>
      </c>
      <c r="Z11" s="304"/>
      <c r="AA11" s="305"/>
      <c r="AB11" s="305"/>
      <c r="AC11" s="305"/>
      <c r="AD11" s="305"/>
      <c r="AE11" s="305"/>
      <c r="AG11" s="303"/>
    </row>
    <row r="12" s="202" customFormat="1" ht="15.75">
      <c r="A12" s="308">
        <v>1</v>
      </c>
      <c r="B12" s="306" t="s">
        <v>1224</v>
      </c>
      <c r="C12" s="306" t="s">
        <v>1219</v>
      </c>
      <c r="D12" s="306" t="s">
        <v>1218</v>
      </c>
      <c r="E12" s="309">
        <v>1.1000000000000001e-003</v>
      </c>
      <c r="F12" s="309">
        <v>1.e-004</v>
      </c>
      <c r="G12" s="309">
        <v>0</v>
      </c>
      <c r="H12" s="309">
        <v>0</v>
      </c>
      <c r="I12" s="309">
        <v>0</v>
      </c>
      <c r="J12" s="309">
        <v>0</v>
      </c>
      <c r="K12" s="309">
        <v>0</v>
      </c>
      <c r="L12" s="309">
        <v>1.e-004</v>
      </c>
      <c r="M12" s="309">
        <v>0</v>
      </c>
      <c r="N12" s="309">
        <v>0</v>
      </c>
      <c r="O12" s="309">
        <v>0</v>
      </c>
      <c r="P12" s="309">
        <v>0</v>
      </c>
      <c r="Q12" s="309">
        <v>0</v>
      </c>
      <c r="R12" s="298">
        <f t="shared" ref="R12:R75" si="1182">(F12-G12)*10000</f>
        <v>1</v>
      </c>
      <c r="S12" s="298">
        <f t="shared" ref="S12:S75" si="1183">(H12-I12)*10000</f>
        <v>0</v>
      </c>
      <c r="T12" s="298">
        <f t="shared" ref="T12:T75" si="1184">(J12-K12)*10000</f>
        <v>0</v>
      </c>
      <c r="U12" s="298">
        <f t="shared" ref="U12:U75" si="1185">(L12-M12)*10000</f>
        <v>1</v>
      </c>
      <c r="V12" s="298">
        <f t="shared" ref="V12:V75" si="1186">(N12-O12)*10000</f>
        <v>0</v>
      </c>
      <c r="W12" s="298">
        <f t="shared" ref="W12:W75" si="1187">(P12-Q12)*10000</f>
        <v>0</v>
      </c>
      <c r="X12" s="303">
        <f t="shared" ref="X12:X75" si="1188">R12+W12</f>
        <v>1</v>
      </c>
      <c r="Y12" s="303">
        <f t="shared" ref="Y12:Y75" si="1189">VLOOKUP(D12,$Z:$AG,8,0)</f>
        <v>32</v>
      </c>
      <c r="Z12" s="304" t="s">
        <v>1220</v>
      </c>
      <c r="AA12" s="305">
        <v>1427</v>
      </c>
      <c r="AB12" s="305">
        <v>58</v>
      </c>
      <c r="AC12" s="305">
        <v>357</v>
      </c>
      <c r="AD12" s="305">
        <v>1012</v>
      </c>
      <c r="AE12" s="305">
        <v>0</v>
      </c>
      <c r="AF12" s="298">
        <v>0</v>
      </c>
      <c r="AG12" s="303">
        <f t="shared" ref="AG12:AG75" si="1190">AA12+AF12</f>
        <v>1427</v>
      </c>
    </row>
    <row r="13" s="202" customFormat="1" ht="15.75">
      <c r="A13" s="308">
        <v>2</v>
      </c>
      <c r="B13" s="306" t="s">
        <v>1224</v>
      </c>
      <c r="C13" s="306" t="s">
        <v>1219</v>
      </c>
      <c r="D13" s="306" t="s">
        <v>1225</v>
      </c>
      <c r="E13" s="309">
        <v>4.1000000000000003e-003</v>
      </c>
      <c r="F13" s="309">
        <v>1.e-003</v>
      </c>
      <c r="G13" s="309">
        <v>2.9999999999999997e-004</v>
      </c>
      <c r="H13" s="309">
        <v>0</v>
      </c>
      <c r="I13" s="309">
        <v>0</v>
      </c>
      <c r="J13" s="309">
        <v>0</v>
      </c>
      <c r="K13" s="309">
        <v>0</v>
      </c>
      <c r="L13" s="309">
        <v>1.e-003</v>
      </c>
      <c r="M13" s="309">
        <v>2.9999999999999997e-004</v>
      </c>
      <c r="N13" s="309">
        <v>0</v>
      </c>
      <c r="O13" s="309">
        <v>0</v>
      </c>
      <c r="P13" s="309">
        <v>0</v>
      </c>
      <c r="Q13" s="309">
        <v>0</v>
      </c>
      <c r="R13" s="298">
        <f t="shared" si="1182"/>
        <v>7</v>
      </c>
      <c r="S13" s="298">
        <f t="shared" si="1183"/>
        <v>0</v>
      </c>
      <c r="T13" s="298">
        <f t="shared" si="1184"/>
        <v>0</v>
      </c>
      <c r="U13" s="298">
        <f t="shared" si="1185"/>
        <v>7</v>
      </c>
      <c r="V13" s="298">
        <f t="shared" si="1186"/>
        <v>0</v>
      </c>
      <c r="W13" s="298">
        <f t="shared" si="1187"/>
        <v>0</v>
      </c>
      <c r="X13" s="303">
        <f t="shared" si="1188"/>
        <v>7</v>
      </c>
      <c r="Y13" s="303">
        <f t="shared" si="1189"/>
        <v>86</v>
      </c>
      <c r="Z13" s="304" t="s">
        <v>1225</v>
      </c>
      <c r="AA13" s="305">
        <v>86</v>
      </c>
      <c r="AB13" s="305">
        <v>3</v>
      </c>
      <c r="AC13" s="305">
        <v>9</v>
      </c>
      <c r="AD13" s="305">
        <v>74</v>
      </c>
      <c r="AE13" s="305">
        <v>0</v>
      </c>
      <c r="AF13" s="298">
        <v>0</v>
      </c>
      <c r="AG13" s="303">
        <f t="shared" si="1190"/>
        <v>86</v>
      </c>
    </row>
    <row r="14" s="202" customFormat="1" ht="15.75">
      <c r="A14" s="308">
        <v>3</v>
      </c>
      <c r="B14" s="306" t="s">
        <v>1224</v>
      </c>
      <c r="C14" s="306" t="s">
        <v>1219</v>
      </c>
      <c r="D14" s="306" t="s">
        <v>1226</v>
      </c>
      <c r="E14" s="309">
        <v>1.4289000000000001</v>
      </c>
      <c r="F14" s="309">
        <v>0.54520000000000002</v>
      </c>
      <c r="G14" s="309">
        <v>0.41460000000000002</v>
      </c>
      <c r="H14" s="309">
        <v>4.1599999999999998e-002</v>
      </c>
      <c r="I14" s="309">
        <v>3.3000000000000002e-002</v>
      </c>
      <c r="J14" s="309">
        <v>0.18340000000000001</v>
      </c>
      <c r="K14" s="309">
        <v>0.1381</v>
      </c>
      <c r="L14" s="309">
        <v>0.3201</v>
      </c>
      <c r="M14" s="309">
        <v>0.24340000000000001</v>
      </c>
      <c r="N14" s="309">
        <v>1.e-004</v>
      </c>
      <c r="O14" s="309">
        <v>1.e-004</v>
      </c>
      <c r="P14" s="309">
        <v>1.5900000000000001e-002</v>
      </c>
      <c r="Q14" s="309">
        <v>1.2200000000000001e-002</v>
      </c>
      <c r="R14" s="298">
        <f t="shared" si="1182"/>
        <v>1306</v>
      </c>
      <c r="S14" s="298">
        <f t="shared" si="1183"/>
        <v>86</v>
      </c>
      <c r="T14" s="298">
        <f t="shared" si="1184"/>
        <v>453</v>
      </c>
      <c r="U14" s="298">
        <f t="shared" si="1185"/>
        <v>767</v>
      </c>
      <c r="V14" s="298">
        <f t="shared" si="1186"/>
        <v>0</v>
      </c>
      <c r="W14" s="298">
        <f t="shared" si="1187"/>
        <v>37</v>
      </c>
      <c r="X14" s="303">
        <f t="shared" si="1188"/>
        <v>1343</v>
      </c>
      <c r="Y14" s="303">
        <f t="shared" si="1189"/>
        <v>53642</v>
      </c>
      <c r="Z14" s="304" t="s">
        <v>1227</v>
      </c>
      <c r="AA14" s="305">
        <v>261</v>
      </c>
      <c r="AB14" s="305">
        <v>5</v>
      </c>
      <c r="AC14" s="305">
        <v>20</v>
      </c>
      <c r="AD14" s="305">
        <v>236</v>
      </c>
      <c r="AE14" s="305">
        <v>0</v>
      </c>
      <c r="AF14" s="298">
        <v>0</v>
      </c>
      <c r="AG14" s="303">
        <f t="shared" si="1190"/>
        <v>261</v>
      </c>
    </row>
    <row r="15" s="202" customFormat="1" ht="15.75">
      <c r="A15" s="308">
        <v>4</v>
      </c>
      <c r="B15" s="306" t="s">
        <v>1224</v>
      </c>
      <c r="C15" s="306" t="s">
        <v>1219</v>
      </c>
      <c r="D15" s="306" t="s">
        <v>1228</v>
      </c>
      <c r="E15" s="309">
        <v>9.9000000000000008e-003</v>
      </c>
      <c r="F15" s="309">
        <v>1.4e-003</v>
      </c>
      <c r="G15" s="309">
        <v>8.0000000000000004e-004</v>
      </c>
      <c r="H15" s="309">
        <v>0</v>
      </c>
      <c r="I15" s="309">
        <v>0</v>
      </c>
      <c r="J15" s="309">
        <v>2.0000000000000001e-004</v>
      </c>
      <c r="K15" s="309">
        <v>1.e-004</v>
      </c>
      <c r="L15" s="309">
        <v>1.1999999999999999e-003</v>
      </c>
      <c r="M15" s="309">
        <v>6.9999999999999999e-004</v>
      </c>
      <c r="N15" s="309">
        <v>0</v>
      </c>
      <c r="O15" s="309">
        <v>0</v>
      </c>
      <c r="P15" s="309">
        <v>0</v>
      </c>
      <c r="Q15" s="309">
        <v>0</v>
      </c>
      <c r="R15" s="298">
        <f t="shared" si="1182"/>
        <v>6</v>
      </c>
      <c r="S15" s="298">
        <f t="shared" si="1183"/>
        <v>0</v>
      </c>
      <c r="T15" s="298">
        <f t="shared" si="1184"/>
        <v>1</v>
      </c>
      <c r="U15" s="298">
        <f t="shared" si="1185"/>
        <v>5</v>
      </c>
      <c r="V15" s="298">
        <f t="shared" si="1186"/>
        <v>0</v>
      </c>
      <c r="W15" s="298">
        <f t="shared" si="1187"/>
        <v>0</v>
      </c>
      <c r="X15" s="303">
        <f t="shared" si="1188"/>
        <v>6</v>
      </c>
      <c r="Y15" s="303">
        <f t="shared" si="1189"/>
        <v>595</v>
      </c>
      <c r="Z15" s="304" t="s">
        <v>1226</v>
      </c>
      <c r="AA15" s="305">
        <v>52965</v>
      </c>
      <c r="AB15" s="305">
        <v>5023</v>
      </c>
      <c r="AC15" s="305">
        <v>23104</v>
      </c>
      <c r="AD15" s="305">
        <v>24818</v>
      </c>
      <c r="AE15" s="305">
        <v>20</v>
      </c>
      <c r="AF15" s="298">
        <v>677</v>
      </c>
      <c r="AG15" s="303">
        <f t="shared" si="1190"/>
        <v>53642</v>
      </c>
    </row>
    <row r="16" s="202" customFormat="1" ht="15.75">
      <c r="A16" s="308">
        <v>5</v>
      </c>
      <c r="B16" s="306" t="s">
        <v>1224</v>
      </c>
      <c r="C16" s="306" t="s">
        <v>1219</v>
      </c>
      <c r="D16" s="306" t="s">
        <v>1229</v>
      </c>
      <c r="E16" s="309">
        <v>7.2300000000000003e-002</v>
      </c>
      <c r="F16" s="309">
        <v>1.3599999999999999e-002</v>
      </c>
      <c r="G16" s="309">
        <v>2.8999999999999998e-003</v>
      </c>
      <c r="H16" s="309">
        <v>1.e-004</v>
      </c>
      <c r="I16" s="309">
        <v>0</v>
      </c>
      <c r="J16" s="309">
        <v>2.2000000000000001e-003</v>
      </c>
      <c r="K16" s="309">
        <v>4.0000000000000002e-004</v>
      </c>
      <c r="L16" s="309">
        <v>1.1299999999999999e-002</v>
      </c>
      <c r="M16" s="309">
        <v>2.5000000000000001e-003</v>
      </c>
      <c r="N16" s="309">
        <v>0</v>
      </c>
      <c r="O16" s="309">
        <v>0</v>
      </c>
      <c r="P16" s="309">
        <v>0</v>
      </c>
      <c r="Q16" s="309">
        <v>0</v>
      </c>
      <c r="R16" s="298">
        <f t="shared" si="1182"/>
        <v>107</v>
      </c>
      <c r="S16" s="298">
        <f t="shared" si="1183"/>
        <v>1</v>
      </c>
      <c r="T16" s="298">
        <f t="shared" si="1184"/>
        <v>18</v>
      </c>
      <c r="U16" s="298">
        <f t="shared" si="1185"/>
        <v>88</v>
      </c>
      <c r="V16" s="298">
        <f t="shared" si="1186"/>
        <v>0</v>
      </c>
      <c r="W16" s="298">
        <f t="shared" si="1187"/>
        <v>0</v>
      </c>
      <c r="X16" s="303">
        <f t="shared" si="1188"/>
        <v>107</v>
      </c>
      <c r="Y16" s="303">
        <f t="shared" si="1189"/>
        <v>1343</v>
      </c>
      <c r="Z16" s="304" t="s">
        <v>1230</v>
      </c>
      <c r="AA16" s="305">
        <v>169</v>
      </c>
      <c r="AB16" s="305">
        <v>2</v>
      </c>
      <c r="AC16" s="305">
        <v>37</v>
      </c>
      <c r="AD16" s="305">
        <v>130</v>
      </c>
      <c r="AE16" s="305">
        <v>0</v>
      </c>
      <c r="AF16" s="298">
        <v>0</v>
      </c>
      <c r="AG16" s="303">
        <f t="shared" si="1190"/>
        <v>169</v>
      </c>
    </row>
    <row r="17" s="202" customFormat="1" ht="15.75">
      <c r="A17" s="308">
        <v>6</v>
      </c>
      <c r="B17" s="306" t="s">
        <v>1224</v>
      </c>
      <c r="C17" s="306" t="s">
        <v>1219</v>
      </c>
      <c r="D17" s="306" t="s">
        <v>1231</v>
      </c>
      <c r="E17" s="309">
        <v>0.1179</v>
      </c>
      <c r="F17" s="309">
        <v>3.5799999999999998e-002</v>
      </c>
      <c r="G17" s="309">
        <v>2.1000000000000001e-002</v>
      </c>
      <c r="H17" s="309">
        <v>1.1999999999999999e-003</v>
      </c>
      <c r="I17" s="309">
        <v>5.0000000000000001e-004</v>
      </c>
      <c r="J17" s="309">
        <v>8.3999999999999995e-003</v>
      </c>
      <c r="K17" s="309">
        <v>5.7000000000000002e-003</v>
      </c>
      <c r="L17" s="309">
        <v>2.6200000000000001e-002</v>
      </c>
      <c r="M17" s="309">
        <v>1.4800000000000001e-002</v>
      </c>
      <c r="N17" s="309">
        <v>0</v>
      </c>
      <c r="O17" s="309">
        <v>0</v>
      </c>
      <c r="P17" s="309">
        <v>0</v>
      </c>
      <c r="Q17" s="309">
        <v>0</v>
      </c>
      <c r="R17" s="298">
        <f t="shared" si="1182"/>
        <v>148</v>
      </c>
      <c r="S17" s="298">
        <f t="shared" si="1183"/>
        <v>7</v>
      </c>
      <c r="T17" s="298">
        <f t="shared" si="1184"/>
        <v>27</v>
      </c>
      <c r="U17" s="298">
        <f t="shared" si="1185"/>
        <v>114</v>
      </c>
      <c r="V17" s="298">
        <f t="shared" si="1186"/>
        <v>0</v>
      </c>
      <c r="W17" s="298">
        <f t="shared" si="1187"/>
        <v>0</v>
      </c>
      <c r="X17" s="303">
        <f t="shared" si="1188"/>
        <v>148</v>
      </c>
      <c r="Y17" s="303">
        <f t="shared" si="1189"/>
        <v>1977</v>
      </c>
      <c r="Z17" s="304" t="s">
        <v>1228</v>
      </c>
      <c r="AA17" s="305">
        <v>595</v>
      </c>
      <c r="AB17" s="305">
        <v>26</v>
      </c>
      <c r="AC17" s="305">
        <v>132</v>
      </c>
      <c r="AD17" s="305">
        <v>437</v>
      </c>
      <c r="AE17" s="305">
        <v>0</v>
      </c>
      <c r="AF17" s="298">
        <v>0</v>
      </c>
      <c r="AG17" s="303">
        <f t="shared" si="1190"/>
        <v>595</v>
      </c>
    </row>
    <row r="18" s="202" customFormat="1" ht="15.75">
      <c r="A18" s="308">
        <v>7</v>
      </c>
      <c r="B18" s="306" t="s">
        <v>1224</v>
      </c>
      <c r="C18" s="306" t="s">
        <v>1219</v>
      </c>
      <c r="D18" s="306" t="s">
        <v>1232</v>
      </c>
      <c r="E18" s="309">
        <v>3.6200000000000003e-002</v>
      </c>
      <c r="F18" s="309">
        <v>4.1999999999999997e-003</v>
      </c>
      <c r="G18" s="309">
        <v>1.5e-003</v>
      </c>
      <c r="H18" s="309">
        <v>1.e-004</v>
      </c>
      <c r="I18" s="309">
        <v>1.e-004</v>
      </c>
      <c r="J18" s="309">
        <v>5.9999999999999995e-004</v>
      </c>
      <c r="K18" s="309">
        <v>2.9999999999999997e-004</v>
      </c>
      <c r="L18" s="309">
        <v>3.5000000000000001e-003</v>
      </c>
      <c r="M18" s="309">
        <v>1.1000000000000001e-003</v>
      </c>
      <c r="N18" s="309">
        <v>0</v>
      </c>
      <c r="O18" s="309">
        <v>0</v>
      </c>
      <c r="P18" s="309">
        <v>0</v>
      </c>
      <c r="Q18" s="309">
        <v>0</v>
      </c>
      <c r="R18" s="298">
        <f t="shared" si="1182"/>
        <v>27</v>
      </c>
      <c r="S18" s="298">
        <f t="shared" si="1183"/>
        <v>0</v>
      </c>
      <c r="T18" s="298">
        <f t="shared" si="1184"/>
        <v>3</v>
      </c>
      <c r="U18" s="298">
        <f t="shared" si="1185"/>
        <v>24</v>
      </c>
      <c r="V18" s="298">
        <f t="shared" si="1186"/>
        <v>0</v>
      </c>
      <c r="W18" s="298">
        <f t="shared" si="1187"/>
        <v>0</v>
      </c>
      <c r="X18" s="303">
        <f t="shared" si="1188"/>
        <v>27</v>
      </c>
      <c r="Y18" s="303">
        <f t="shared" si="1189"/>
        <v>1531</v>
      </c>
      <c r="Z18" s="304" t="s">
        <v>1229</v>
      </c>
      <c r="AA18" s="305">
        <v>1343</v>
      </c>
      <c r="AB18" s="305">
        <v>48</v>
      </c>
      <c r="AC18" s="305">
        <v>318</v>
      </c>
      <c r="AD18" s="305">
        <v>977</v>
      </c>
      <c r="AE18" s="305">
        <v>0</v>
      </c>
      <c r="AF18" s="298">
        <v>0</v>
      </c>
      <c r="AG18" s="303">
        <f t="shared" si="1190"/>
        <v>1343</v>
      </c>
    </row>
    <row r="19" s="202" customFormat="1" ht="15.75">
      <c r="A19" s="308">
        <v>8</v>
      </c>
      <c r="B19" s="306" t="s">
        <v>1224</v>
      </c>
      <c r="C19" s="306" t="s">
        <v>1219</v>
      </c>
      <c r="D19" s="306" t="s">
        <v>1233</v>
      </c>
      <c r="E19" s="309">
        <v>5.0099999999999999e-002</v>
      </c>
      <c r="F19" s="309">
        <v>1.72e-002</v>
      </c>
      <c r="G19" s="309">
        <v>7.4999999999999997e-003</v>
      </c>
      <c r="H19" s="309">
        <v>5.9999999999999995e-004</v>
      </c>
      <c r="I19" s="309">
        <v>1.e-004</v>
      </c>
      <c r="J19" s="309">
        <v>4.1999999999999997e-003</v>
      </c>
      <c r="K19" s="309">
        <v>2.3999999999999998e-003</v>
      </c>
      <c r="L19" s="309">
        <v>1.24e-002</v>
      </c>
      <c r="M19" s="309">
        <v>5.0000000000000001e-003</v>
      </c>
      <c r="N19" s="309">
        <v>0</v>
      </c>
      <c r="O19" s="309">
        <v>0</v>
      </c>
      <c r="P19" s="309">
        <v>0</v>
      </c>
      <c r="Q19" s="309">
        <v>0</v>
      </c>
      <c r="R19" s="298">
        <f t="shared" si="1182"/>
        <v>97</v>
      </c>
      <c r="S19" s="298">
        <f t="shared" si="1183"/>
        <v>5</v>
      </c>
      <c r="T19" s="298">
        <f t="shared" si="1184"/>
        <v>18</v>
      </c>
      <c r="U19" s="298">
        <f t="shared" si="1185"/>
        <v>74</v>
      </c>
      <c r="V19" s="298">
        <f t="shared" si="1186"/>
        <v>0</v>
      </c>
      <c r="W19" s="298">
        <f t="shared" si="1187"/>
        <v>0</v>
      </c>
      <c r="X19" s="303">
        <f t="shared" si="1188"/>
        <v>97</v>
      </c>
      <c r="Y19" s="303">
        <f t="shared" si="1189"/>
        <v>1512</v>
      </c>
      <c r="Z19" s="304" t="s">
        <v>1231</v>
      </c>
      <c r="AA19" s="305">
        <v>1977</v>
      </c>
      <c r="AB19" s="305">
        <v>140</v>
      </c>
      <c r="AC19" s="305">
        <v>602</v>
      </c>
      <c r="AD19" s="305">
        <v>1235</v>
      </c>
      <c r="AE19" s="305">
        <v>0</v>
      </c>
      <c r="AF19" s="298">
        <v>0</v>
      </c>
      <c r="AG19" s="303">
        <f t="shared" si="1190"/>
        <v>1977</v>
      </c>
    </row>
    <row r="20" s="202" customFormat="1" ht="15.75">
      <c r="A20" s="308">
        <v>9</v>
      </c>
      <c r="B20" s="306" t="s">
        <v>1224</v>
      </c>
      <c r="C20" s="306" t="s">
        <v>1219</v>
      </c>
      <c r="D20" s="306" t="s">
        <v>1234</v>
      </c>
      <c r="E20" s="309">
        <v>0.73450000000000004</v>
      </c>
      <c r="F20" s="309">
        <v>0.2243</v>
      </c>
      <c r="G20" s="309">
        <v>0.13220000000000001</v>
      </c>
      <c r="H20" s="309">
        <v>1.11e-002</v>
      </c>
      <c r="I20" s="309">
        <v>5.7999999999999996e-003</v>
      </c>
      <c r="J20" s="309">
        <v>0.10199999999999999</v>
      </c>
      <c r="K20" s="309">
        <v>5.9900000000000002e-002</v>
      </c>
      <c r="L20" s="309">
        <v>0.11119999999999999</v>
      </c>
      <c r="M20" s="309">
        <v>6.6500000000000004e-002</v>
      </c>
      <c r="N20" s="309">
        <v>0</v>
      </c>
      <c r="O20" s="309">
        <v>0</v>
      </c>
      <c r="P20" s="309">
        <v>4.5999999999999999e-003</v>
      </c>
      <c r="Q20" s="309">
        <v>2.5999999999999999e-003</v>
      </c>
      <c r="R20" s="298">
        <f t="shared" si="1182"/>
        <v>921</v>
      </c>
      <c r="S20" s="298">
        <f t="shared" si="1183"/>
        <v>53</v>
      </c>
      <c r="T20" s="298">
        <f t="shared" si="1184"/>
        <v>421</v>
      </c>
      <c r="U20" s="298">
        <f t="shared" si="1185"/>
        <v>447</v>
      </c>
      <c r="V20" s="298">
        <f t="shared" si="1186"/>
        <v>0</v>
      </c>
      <c r="W20" s="298">
        <f t="shared" si="1187"/>
        <v>20</v>
      </c>
      <c r="X20" s="303">
        <f t="shared" si="1188"/>
        <v>941</v>
      </c>
      <c r="Y20" s="303">
        <f t="shared" si="1189"/>
        <v>41536</v>
      </c>
      <c r="Z20" s="304" t="s">
        <v>1232</v>
      </c>
      <c r="AA20" s="305">
        <v>1530</v>
      </c>
      <c r="AB20" s="305">
        <v>181</v>
      </c>
      <c r="AC20" s="305">
        <v>311</v>
      </c>
      <c r="AD20" s="305">
        <v>1038</v>
      </c>
      <c r="AE20" s="305">
        <v>0</v>
      </c>
      <c r="AF20" s="298">
        <v>1</v>
      </c>
      <c r="AG20" s="303">
        <f t="shared" si="1190"/>
        <v>1531</v>
      </c>
    </row>
    <row r="21" s="202" customFormat="1" ht="15.75">
      <c r="A21" s="308">
        <v>10</v>
      </c>
      <c r="B21" s="306" t="s">
        <v>1224</v>
      </c>
      <c r="C21" s="306" t="s">
        <v>1219</v>
      </c>
      <c r="D21" s="306" t="s">
        <v>1235</v>
      </c>
      <c r="E21" s="309">
        <v>0.68659999999999999</v>
      </c>
      <c r="F21" s="309">
        <v>0.2102</v>
      </c>
      <c r="G21" s="309">
        <v>0.11310000000000001</v>
      </c>
      <c r="H21" s="309">
        <v>7.9000000000000008e-003</v>
      </c>
      <c r="I21" s="309">
        <v>4.3e-003</v>
      </c>
      <c r="J21" s="309">
        <v>9.2999999999999999e-002</v>
      </c>
      <c r="K21" s="309">
        <v>5.3900000000000003e-002</v>
      </c>
      <c r="L21" s="309">
        <v>0.10920000000000001</v>
      </c>
      <c r="M21" s="309">
        <v>5.4899999999999997e-002</v>
      </c>
      <c r="N21" s="309">
        <v>1.e-004</v>
      </c>
      <c r="O21" s="309">
        <v>0</v>
      </c>
      <c r="P21" s="309">
        <v>2.0000000000000001e-004</v>
      </c>
      <c r="Q21" s="309">
        <v>2.0000000000000001e-004</v>
      </c>
      <c r="R21" s="298">
        <f t="shared" si="1182"/>
        <v>971</v>
      </c>
      <c r="S21" s="298">
        <f t="shared" si="1183"/>
        <v>36</v>
      </c>
      <c r="T21" s="298">
        <f t="shared" si="1184"/>
        <v>391</v>
      </c>
      <c r="U21" s="298">
        <f t="shared" si="1185"/>
        <v>543</v>
      </c>
      <c r="V21" s="298">
        <f t="shared" si="1186"/>
        <v>1</v>
      </c>
      <c r="W21" s="298">
        <f t="shared" si="1187"/>
        <v>0</v>
      </c>
      <c r="X21" s="303">
        <f t="shared" si="1188"/>
        <v>971</v>
      </c>
      <c r="Y21" s="303">
        <f t="shared" si="1189"/>
        <v>58718</v>
      </c>
      <c r="Z21" s="304" t="s">
        <v>1233</v>
      </c>
      <c r="AA21" s="305">
        <v>1512</v>
      </c>
      <c r="AB21" s="305">
        <v>48</v>
      </c>
      <c r="AC21" s="305">
        <v>400</v>
      </c>
      <c r="AD21" s="305">
        <v>1064</v>
      </c>
      <c r="AE21" s="305">
        <v>0</v>
      </c>
      <c r="AF21" s="298">
        <v>0</v>
      </c>
      <c r="AG21" s="303">
        <f t="shared" si="1190"/>
        <v>1512</v>
      </c>
    </row>
    <row r="22" s="202" customFormat="1" ht="15.75">
      <c r="A22" s="308">
        <v>11</v>
      </c>
      <c r="B22" s="306" t="s">
        <v>1224</v>
      </c>
      <c r="C22" s="306" t="s">
        <v>1219</v>
      </c>
      <c r="D22" s="306" t="s">
        <v>1236</v>
      </c>
      <c r="E22" s="309">
        <v>3.2800000000000003e-002</v>
      </c>
      <c r="F22" s="309">
        <v>1.41e-002</v>
      </c>
      <c r="G22" s="309">
        <v>9.7999999999999997e-003</v>
      </c>
      <c r="H22" s="309">
        <v>2.9999999999999997e-004</v>
      </c>
      <c r="I22" s="309">
        <v>1.e-004</v>
      </c>
      <c r="J22" s="309">
        <v>1.e-003</v>
      </c>
      <c r="K22" s="309">
        <v>6.9999999999999999e-004</v>
      </c>
      <c r="L22" s="309">
        <v>1.2800000000000001e-002</v>
      </c>
      <c r="M22" s="309">
        <v>8.9999999999999993e-003</v>
      </c>
      <c r="N22" s="309">
        <v>0</v>
      </c>
      <c r="O22" s="309">
        <v>0</v>
      </c>
      <c r="P22" s="309">
        <v>0</v>
      </c>
      <c r="Q22" s="309">
        <v>0</v>
      </c>
      <c r="R22" s="298">
        <f t="shared" si="1182"/>
        <v>43</v>
      </c>
      <c r="S22" s="298">
        <f t="shared" si="1183"/>
        <v>2</v>
      </c>
      <c r="T22" s="298">
        <f t="shared" si="1184"/>
        <v>3</v>
      </c>
      <c r="U22" s="298">
        <f t="shared" si="1185"/>
        <v>38</v>
      </c>
      <c r="V22" s="298">
        <f t="shared" si="1186"/>
        <v>0</v>
      </c>
      <c r="W22" s="298">
        <f t="shared" si="1187"/>
        <v>0</v>
      </c>
      <c r="X22" s="303">
        <f t="shared" si="1188"/>
        <v>43</v>
      </c>
      <c r="Y22" s="303">
        <f t="shared" si="1189"/>
        <v>2162</v>
      </c>
      <c r="Z22" s="304" t="s">
        <v>1234</v>
      </c>
      <c r="AA22" s="305">
        <v>41303</v>
      </c>
      <c r="AB22" s="305">
        <v>2570</v>
      </c>
      <c r="AC22" s="305">
        <v>23877</v>
      </c>
      <c r="AD22" s="305">
        <v>14848</v>
      </c>
      <c r="AE22" s="305">
        <v>8</v>
      </c>
      <c r="AF22" s="298">
        <v>233</v>
      </c>
      <c r="AG22" s="303">
        <f t="shared" si="1190"/>
        <v>41536</v>
      </c>
    </row>
    <row r="23" s="202" customFormat="1" ht="15.75">
      <c r="A23" s="308">
        <v>12</v>
      </c>
      <c r="B23" s="306" t="s">
        <v>1224</v>
      </c>
      <c r="C23" s="306" t="s">
        <v>1219</v>
      </c>
      <c r="D23" s="306" t="s">
        <v>1237</v>
      </c>
      <c r="E23" s="309">
        <v>2.1499999999999998e-002</v>
      </c>
      <c r="F23" s="309">
        <v>1.e-003</v>
      </c>
      <c r="G23" s="309">
        <v>0</v>
      </c>
      <c r="H23" s="309">
        <v>0</v>
      </c>
      <c r="I23" s="309">
        <v>0</v>
      </c>
      <c r="J23" s="309">
        <v>1.e-004</v>
      </c>
      <c r="K23" s="309">
        <v>0</v>
      </c>
      <c r="L23" s="309">
        <v>8.9999999999999998e-004</v>
      </c>
      <c r="M23" s="309">
        <v>0</v>
      </c>
      <c r="N23" s="309">
        <v>0</v>
      </c>
      <c r="O23" s="309">
        <v>0</v>
      </c>
      <c r="P23" s="309">
        <v>0</v>
      </c>
      <c r="Q23" s="309">
        <v>0</v>
      </c>
      <c r="R23" s="298">
        <f t="shared" si="1182"/>
        <v>10</v>
      </c>
      <c r="S23" s="298">
        <f t="shared" si="1183"/>
        <v>0</v>
      </c>
      <c r="T23" s="298">
        <f t="shared" si="1184"/>
        <v>1</v>
      </c>
      <c r="U23" s="298">
        <f t="shared" si="1185"/>
        <v>9</v>
      </c>
      <c r="V23" s="298">
        <f t="shared" si="1186"/>
        <v>0</v>
      </c>
      <c r="W23" s="298">
        <f t="shared" si="1187"/>
        <v>0</v>
      </c>
      <c r="X23" s="303">
        <f t="shared" si="1188"/>
        <v>10</v>
      </c>
      <c r="Y23" s="303">
        <f t="shared" si="1189"/>
        <v>32</v>
      </c>
      <c r="Z23" s="304" t="s">
        <v>1235</v>
      </c>
      <c r="AA23" s="305">
        <v>58678</v>
      </c>
      <c r="AB23" s="305">
        <v>2927</v>
      </c>
      <c r="AC23" s="305">
        <v>30246</v>
      </c>
      <c r="AD23" s="305">
        <v>25502</v>
      </c>
      <c r="AE23" s="305">
        <v>3</v>
      </c>
      <c r="AF23" s="298">
        <v>40</v>
      </c>
      <c r="AG23" s="303">
        <f t="shared" si="1190"/>
        <v>58718</v>
      </c>
    </row>
    <row r="24" s="202" customFormat="1" ht="15.75">
      <c r="A24" s="308">
        <v>13</v>
      </c>
      <c r="B24" s="306" t="s">
        <v>1224</v>
      </c>
      <c r="C24" s="306" t="s">
        <v>1221</v>
      </c>
      <c r="D24" s="306" t="s">
        <v>1238</v>
      </c>
      <c r="E24" s="309">
        <v>0.10730000000000001</v>
      </c>
      <c r="F24" s="309">
        <v>4.3400000000000001e-002</v>
      </c>
      <c r="G24" s="309">
        <v>2.1600000000000001e-002</v>
      </c>
      <c r="H24" s="309">
        <v>5.4000000000000003e-003</v>
      </c>
      <c r="I24" s="309">
        <v>2.7000000000000001e-003</v>
      </c>
      <c r="J24" s="309">
        <v>2.8999999999999998e-003</v>
      </c>
      <c r="K24" s="309">
        <v>6.9999999999999999e-004</v>
      </c>
      <c r="L24" s="309">
        <v>3.5099999999999999e-002</v>
      </c>
      <c r="M24" s="309">
        <v>1.8200000000000001e-002</v>
      </c>
      <c r="N24" s="309">
        <v>0</v>
      </c>
      <c r="O24" s="309">
        <v>0</v>
      </c>
      <c r="P24" s="309">
        <v>5.4999999999999997e-003</v>
      </c>
      <c r="Q24" s="309">
        <v>4.5999999999999999e-003</v>
      </c>
      <c r="R24" s="298">
        <f t="shared" si="1182"/>
        <v>218</v>
      </c>
      <c r="S24" s="298">
        <f t="shared" si="1183"/>
        <v>27</v>
      </c>
      <c r="T24" s="298">
        <f t="shared" si="1184"/>
        <v>22</v>
      </c>
      <c r="U24" s="298">
        <f t="shared" si="1185"/>
        <v>169</v>
      </c>
      <c r="V24" s="298">
        <f t="shared" si="1186"/>
        <v>0</v>
      </c>
      <c r="W24" s="298">
        <f t="shared" si="1187"/>
        <v>9</v>
      </c>
      <c r="X24" s="303">
        <f t="shared" si="1188"/>
        <v>227</v>
      </c>
      <c r="Y24" s="303">
        <f t="shared" si="1189"/>
        <v>5992</v>
      </c>
      <c r="Z24" s="304" t="s">
        <v>1239</v>
      </c>
      <c r="AA24" s="305">
        <v>785</v>
      </c>
      <c r="AB24" s="305">
        <v>18</v>
      </c>
      <c r="AC24" s="305">
        <v>132</v>
      </c>
      <c r="AD24" s="305">
        <v>635</v>
      </c>
      <c r="AE24" s="305">
        <v>0</v>
      </c>
      <c r="AF24" s="298">
        <v>2</v>
      </c>
      <c r="AG24" s="303">
        <f t="shared" si="1190"/>
        <v>787</v>
      </c>
    </row>
    <row r="25" s="202" customFormat="1" ht="15.75">
      <c r="A25" s="308">
        <v>14</v>
      </c>
      <c r="B25" s="306" t="s">
        <v>1224</v>
      </c>
      <c r="C25" s="306" t="s">
        <v>1221</v>
      </c>
      <c r="D25" s="306" t="s">
        <v>1240</v>
      </c>
      <c r="E25" s="309">
        <v>0.10100000000000001</v>
      </c>
      <c r="F25" s="309">
        <v>3.61e-002</v>
      </c>
      <c r="G25" s="309">
        <v>1.26e-002</v>
      </c>
      <c r="H25" s="309">
        <v>3.5999999999999999e-003</v>
      </c>
      <c r="I25" s="309">
        <v>1.6000000000000001e-003</v>
      </c>
      <c r="J25" s="309">
        <v>9.5999999999999992e-003</v>
      </c>
      <c r="K25" s="309">
        <v>3.0000000000000001e-003</v>
      </c>
      <c r="L25" s="309">
        <v>2.29e-002</v>
      </c>
      <c r="M25" s="309">
        <v>8.0000000000000002e-003</v>
      </c>
      <c r="N25" s="309">
        <v>0</v>
      </c>
      <c r="O25" s="309">
        <v>0</v>
      </c>
      <c r="P25" s="309">
        <v>0</v>
      </c>
      <c r="Q25" s="309">
        <v>0</v>
      </c>
      <c r="R25" s="298">
        <f t="shared" si="1182"/>
        <v>235</v>
      </c>
      <c r="S25" s="298">
        <f t="shared" si="1183"/>
        <v>20</v>
      </c>
      <c r="T25" s="298">
        <f t="shared" si="1184"/>
        <v>66</v>
      </c>
      <c r="U25" s="298">
        <f t="shared" si="1185"/>
        <v>149</v>
      </c>
      <c r="V25" s="298">
        <f t="shared" si="1186"/>
        <v>0</v>
      </c>
      <c r="W25" s="298">
        <f t="shared" si="1187"/>
        <v>0</v>
      </c>
      <c r="X25" s="303">
        <f t="shared" si="1188"/>
        <v>235</v>
      </c>
      <c r="Y25" s="303">
        <f t="shared" si="1189"/>
        <v>8028</v>
      </c>
      <c r="Z25" s="304" t="s">
        <v>1223</v>
      </c>
      <c r="AA25" s="305">
        <v>82</v>
      </c>
      <c r="AB25" s="305">
        <v>0</v>
      </c>
      <c r="AC25" s="305">
        <v>21</v>
      </c>
      <c r="AD25" s="305">
        <v>61</v>
      </c>
      <c r="AE25" s="305">
        <v>0</v>
      </c>
      <c r="AF25" s="298">
        <v>0</v>
      </c>
      <c r="AG25" s="303">
        <f t="shared" si="1190"/>
        <v>82</v>
      </c>
    </row>
    <row r="26" s="202" customFormat="1" ht="15.75">
      <c r="A26" s="308">
        <v>15</v>
      </c>
      <c r="B26" s="306" t="s">
        <v>1224</v>
      </c>
      <c r="C26" s="306" t="s">
        <v>1221</v>
      </c>
      <c r="D26" s="306" t="s">
        <v>1241</v>
      </c>
      <c r="E26" s="309">
        <v>0.80469999999999997</v>
      </c>
      <c r="F26" s="309">
        <v>0.2361</v>
      </c>
      <c r="G26" s="309">
        <v>0.12620000000000001</v>
      </c>
      <c r="H26" s="309">
        <v>5.7799999999999997e-002</v>
      </c>
      <c r="I26" s="309">
        <v>2.9999999999999999e-002</v>
      </c>
      <c r="J26" s="309">
        <v>4.3900000000000002e-002</v>
      </c>
      <c r="K26" s="309">
        <v>1.8800000000000001e-002</v>
      </c>
      <c r="L26" s="309">
        <v>0.13439999999999999</v>
      </c>
      <c r="M26" s="309">
        <v>7.7399999999999997e-002</v>
      </c>
      <c r="N26" s="309">
        <v>0</v>
      </c>
      <c r="O26" s="309">
        <v>0</v>
      </c>
      <c r="P26" s="309">
        <v>0</v>
      </c>
      <c r="Q26" s="309">
        <v>0</v>
      </c>
      <c r="R26" s="298">
        <f t="shared" si="1182"/>
        <v>1099</v>
      </c>
      <c r="S26" s="298">
        <f t="shared" si="1183"/>
        <v>278</v>
      </c>
      <c r="T26" s="298">
        <f t="shared" si="1184"/>
        <v>251</v>
      </c>
      <c r="U26" s="298">
        <f t="shared" si="1185"/>
        <v>570</v>
      </c>
      <c r="V26" s="298">
        <f t="shared" si="1186"/>
        <v>0</v>
      </c>
      <c r="W26" s="298">
        <f t="shared" si="1187"/>
        <v>0</v>
      </c>
      <c r="X26" s="303">
        <f t="shared" si="1188"/>
        <v>1099</v>
      </c>
      <c r="Y26" s="303">
        <f t="shared" si="1189"/>
        <v>17138</v>
      </c>
      <c r="Z26" s="304" t="s">
        <v>1236</v>
      </c>
      <c r="AA26" s="305">
        <v>2162</v>
      </c>
      <c r="AB26" s="305">
        <v>35</v>
      </c>
      <c r="AC26" s="305">
        <v>173</v>
      </c>
      <c r="AD26" s="305">
        <v>1946</v>
      </c>
      <c r="AE26" s="305">
        <v>8</v>
      </c>
      <c r="AF26" s="298">
        <v>0</v>
      </c>
      <c r="AG26" s="303">
        <f t="shared" si="1190"/>
        <v>2162</v>
      </c>
    </row>
    <row r="27" s="202" customFormat="1" ht="15.75">
      <c r="A27" s="308">
        <v>16</v>
      </c>
      <c r="B27" s="306" t="s">
        <v>1224</v>
      </c>
      <c r="C27" s="306" t="s">
        <v>1221</v>
      </c>
      <c r="D27" s="306" t="s">
        <v>1242</v>
      </c>
      <c r="E27" s="309">
        <v>0.5887</v>
      </c>
      <c r="F27" s="309">
        <v>0.1696</v>
      </c>
      <c r="G27" s="309">
        <v>9.6799999999999997e-002</v>
      </c>
      <c r="H27" s="309">
        <v>6.2700000000000006e-002</v>
      </c>
      <c r="I27" s="309">
        <v>3.2899999999999999e-002</v>
      </c>
      <c r="J27" s="309">
        <v>2.3199999999999998e-002</v>
      </c>
      <c r="K27" s="309">
        <v>1.0800000000000001e-002</v>
      </c>
      <c r="L27" s="309">
        <v>8.3699999999999997e-002</v>
      </c>
      <c r="M27" s="309">
        <v>5.3100000000000001e-002</v>
      </c>
      <c r="N27" s="309">
        <v>0</v>
      </c>
      <c r="O27" s="309">
        <v>0</v>
      </c>
      <c r="P27" s="309">
        <v>4.0000000000000002e-004</v>
      </c>
      <c r="Q27" s="309">
        <v>4.0000000000000002e-004</v>
      </c>
      <c r="R27" s="298">
        <f t="shared" si="1182"/>
        <v>728</v>
      </c>
      <c r="S27" s="298">
        <f t="shared" si="1183"/>
        <v>298</v>
      </c>
      <c r="T27" s="298">
        <f t="shared" si="1184"/>
        <v>124</v>
      </c>
      <c r="U27" s="298">
        <f t="shared" si="1185"/>
        <v>306</v>
      </c>
      <c r="V27" s="298">
        <f t="shared" si="1186"/>
        <v>0</v>
      </c>
      <c r="W27" s="298">
        <f t="shared" si="1187"/>
        <v>0</v>
      </c>
      <c r="X27" s="303">
        <f t="shared" si="1188"/>
        <v>728</v>
      </c>
      <c r="Y27" s="303">
        <f t="shared" si="1189"/>
        <v>28726</v>
      </c>
      <c r="Z27" s="304" t="s">
        <v>1237</v>
      </c>
      <c r="AA27" s="305">
        <v>32</v>
      </c>
      <c r="AB27" s="305">
        <v>0</v>
      </c>
      <c r="AC27" s="305">
        <v>9</v>
      </c>
      <c r="AD27" s="305">
        <v>23</v>
      </c>
      <c r="AE27" s="305">
        <v>0</v>
      </c>
      <c r="AF27" s="298">
        <v>0</v>
      </c>
      <c r="AG27" s="303">
        <f t="shared" si="1190"/>
        <v>32</v>
      </c>
    </row>
    <row r="28" s="202" customFormat="1" ht="15.75">
      <c r="A28" s="308">
        <v>17</v>
      </c>
      <c r="B28" s="306" t="s">
        <v>1224</v>
      </c>
      <c r="C28" s="306" t="s">
        <v>1221</v>
      </c>
      <c r="D28" s="306" t="s">
        <v>1243</v>
      </c>
      <c r="E28" s="309">
        <v>0.58489999999999998</v>
      </c>
      <c r="F28" s="309">
        <v>0.2014</v>
      </c>
      <c r="G28" s="309">
        <v>9.4e-002</v>
      </c>
      <c r="H28" s="309">
        <v>6.1600000000000002e-002</v>
      </c>
      <c r="I28" s="309">
        <v>2.2700000000000001e-002</v>
      </c>
      <c r="J28" s="309">
        <v>2.52e-002</v>
      </c>
      <c r="K28" s="309">
        <v>1.11e-002</v>
      </c>
      <c r="L28" s="309">
        <v>0.11459999999999999</v>
      </c>
      <c r="M28" s="309">
        <v>6.0199999999999997e-002</v>
      </c>
      <c r="N28" s="309">
        <v>0</v>
      </c>
      <c r="O28" s="309">
        <v>0</v>
      </c>
      <c r="P28" s="309">
        <v>2.5000000000000001e-003</v>
      </c>
      <c r="Q28" s="309">
        <v>8.9999999999999998e-004</v>
      </c>
      <c r="R28" s="298">
        <f t="shared" si="1182"/>
        <v>1074</v>
      </c>
      <c r="S28" s="298">
        <f t="shared" si="1183"/>
        <v>389</v>
      </c>
      <c r="T28" s="298">
        <f t="shared" si="1184"/>
        <v>141</v>
      </c>
      <c r="U28" s="298">
        <f t="shared" si="1185"/>
        <v>544</v>
      </c>
      <c r="V28" s="298">
        <f t="shared" si="1186"/>
        <v>0</v>
      </c>
      <c r="W28" s="298">
        <f t="shared" si="1187"/>
        <v>16</v>
      </c>
      <c r="X28" s="303">
        <f t="shared" si="1188"/>
        <v>1090</v>
      </c>
      <c r="Y28" s="303">
        <f t="shared" si="1189"/>
        <v>18085</v>
      </c>
      <c r="Z28" s="304" t="s">
        <v>1238</v>
      </c>
      <c r="AA28" s="305">
        <v>5740</v>
      </c>
      <c r="AB28" s="305">
        <v>1385</v>
      </c>
      <c r="AC28" s="305">
        <v>991</v>
      </c>
      <c r="AD28" s="305">
        <v>3360</v>
      </c>
      <c r="AE28" s="305">
        <v>4</v>
      </c>
      <c r="AF28" s="298">
        <v>252</v>
      </c>
      <c r="AG28" s="303">
        <f t="shared" si="1190"/>
        <v>5992</v>
      </c>
    </row>
    <row r="29" s="202" customFormat="1" ht="15.75">
      <c r="A29" s="308">
        <v>18</v>
      </c>
      <c r="B29" s="306" t="s">
        <v>1224</v>
      </c>
      <c r="C29" s="306" t="s">
        <v>1221</v>
      </c>
      <c r="D29" s="306" t="s">
        <v>1244</v>
      </c>
      <c r="E29" s="309">
        <v>0.99950000000000006</v>
      </c>
      <c r="F29" s="309">
        <v>0.373</v>
      </c>
      <c r="G29" s="309">
        <v>0.1779</v>
      </c>
      <c r="H29" s="309">
        <v>0.1167</v>
      </c>
      <c r="I29" s="309">
        <v>5.0799999999999998e-002</v>
      </c>
      <c r="J29" s="309">
        <v>7.7600000000000002e-002</v>
      </c>
      <c r="K29" s="309">
        <v>3.3700000000000001e-002</v>
      </c>
      <c r="L29" s="309">
        <v>0.1787</v>
      </c>
      <c r="M29" s="309">
        <v>9.3399999999999997e-002</v>
      </c>
      <c r="N29" s="309">
        <v>0</v>
      </c>
      <c r="O29" s="309">
        <v>0</v>
      </c>
      <c r="P29" s="309">
        <v>1.9e-003</v>
      </c>
      <c r="Q29" s="309">
        <v>1.5e-003</v>
      </c>
      <c r="R29" s="298">
        <f t="shared" si="1182"/>
        <v>1951</v>
      </c>
      <c r="S29" s="298">
        <f t="shared" si="1183"/>
        <v>659</v>
      </c>
      <c r="T29" s="298">
        <f t="shared" si="1184"/>
        <v>439</v>
      </c>
      <c r="U29" s="298">
        <f t="shared" si="1185"/>
        <v>853</v>
      </c>
      <c r="V29" s="298">
        <f t="shared" si="1186"/>
        <v>0</v>
      </c>
      <c r="W29" s="298">
        <f t="shared" si="1187"/>
        <v>4</v>
      </c>
      <c r="X29" s="303">
        <f t="shared" si="1188"/>
        <v>1955</v>
      </c>
      <c r="Y29" s="303">
        <f t="shared" si="1189"/>
        <v>54897</v>
      </c>
      <c r="Z29" s="304" t="s">
        <v>1240</v>
      </c>
      <c r="AA29" s="305">
        <v>8021</v>
      </c>
      <c r="AB29" s="305">
        <v>1470</v>
      </c>
      <c r="AC29" s="305">
        <v>2516</v>
      </c>
      <c r="AD29" s="305">
        <v>4035</v>
      </c>
      <c r="AE29" s="305">
        <v>0</v>
      </c>
      <c r="AF29" s="298">
        <v>7</v>
      </c>
      <c r="AG29" s="303">
        <f t="shared" si="1190"/>
        <v>8028</v>
      </c>
    </row>
    <row r="30" s="202" customFormat="1" ht="15.75">
      <c r="A30" s="308">
        <v>19</v>
      </c>
      <c r="B30" s="306" t="s">
        <v>1224</v>
      </c>
      <c r="C30" s="306" t="s">
        <v>1221</v>
      </c>
      <c r="D30" s="306" t="s">
        <v>1245</v>
      </c>
      <c r="E30" s="309">
        <v>3.8586999999999998</v>
      </c>
      <c r="F30" s="309">
        <v>1.4432</v>
      </c>
      <c r="G30" s="309">
        <v>0.71860000000000002</v>
      </c>
      <c r="H30" s="309">
        <v>0.1512</v>
      </c>
      <c r="I30" s="309">
        <v>8.0699999999999994e-002</v>
      </c>
      <c r="J30" s="309">
        <v>0.73550000000000004</v>
      </c>
      <c r="K30" s="309">
        <v>0.30070000000000002</v>
      </c>
      <c r="L30" s="309">
        <v>0.55610000000000004</v>
      </c>
      <c r="M30" s="309">
        <v>0.33710000000000001</v>
      </c>
      <c r="N30" s="309">
        <v>4.0000000000000002e-004</v>
      </c>
      <c r="O30" s="309">
        <v>1.e-004</v>
      </c>
      <c r="P30" s="309">
        <v>2.0999999999999999e-003</v>
      </c>
      <c r="Q30" s="309">
        <v>2.e-003</v>
      </c>
      <c r="R30" s="298">
        <f t="shared" si="1182"/>
        <v>7246</v>
      </c>
      <c r="S30" s="298">
        <f t="shared" si="1183"/>
        <v>705</v>
      </c>
      <c r="T30" s="298">
        <f t="shared" si="1184"/>
        <v>4348</v>
      </c>
      <c r="U30" s="298">
        <f t="shared" si="1185"/>
        <v>2190</v>
      </c>
      <c r="V30" s="298">
        <f t="shared" si="1186"/>
        <v>3</v>
      </c>
      <c r="W30" s="298">
        <f t="shared" si="1187"/>
        <v>0.999999999999998</v>
      </c>
      <c r="X30" s="303">
        <f t="shared" si="1188"/>
        <v>7247</v>
      </c>
      <c r="Y30" s="303">
        <f t="shared" si="1189"/>
        <v>166175</v>
      </c>
      <c r="Z30" s="304" t="s">
        <v>1241</v>
      </c>
      <c r="AA30" s="305">
        <v>17136</v>
      </c>
      <c r="AB30" s="305">
        <v>4984</v>
      </c>
      <c r="AC30" s="305">
        <v>3300</v>
      </c>
      <c r="AD30" s="305">
        <v>8847</v>
      </c>
      <c r="AE30" s="305">
        <v>5</v>
      </c>
      <c r="AF30" s="298">
        <v>2</v>
      </c>
      <c r="AG30" s="303">
        <f t="shared" si="1190"/>
        <v>17138</v>
      </c>
    </row>
    <row r="31" s="202" customFormat="1" ht="15.75">
      <c r="A31" s="308">
        <v>20</v>
      </c>
      <c r="B31" s="306" t="s">
        <v>1224</v>
      </c>
      <c r="C31" s="306" t="s">
        <v>1221</v>
      </c>
      <c r="D31" s="306" t="s">
        <v>1246</v>
      </c>
      <c r="E31" s="309">
        <v>0.26829999999999998</v>
      </c>
      <c r="F31" s="309">
        <v>7.1900000000000006e-002</v>
      </c>
      <c r="G31" s="309">
        <v>3.09e-002</v>
      </c>
      <c r="H31" s="309">
        <v>9.4999999999999998e-003</v>
      </c>
      <c r="I31" s="309">
        <v>4.4000000000000003e-003</v>
      </c>
      <c r="J31" s="309">
        <v>1.7600000000000001e-002</v>
      </c>
      <c r="K31" s="309">
        <v>5.0000000000000001e-003</v>
      </c>
      <c r="L31" s="309">
        <v>4.4699999999999997e-002</v>
      </c>
      <c r="M31" s="309">
        <v>2.1499999999999998e-002</v>
      </c>
      <c r="N31" s="309">
        <v>1.e-004</v>
      </c>
      <c r="O31" s="309">
        <v>0</v>
      </c>
      <c r="P31" s="309">
        <v>4.0000000000000002e-004</v>
      </c>
      <c r="Q31" s="309">
        <v>4.0000000000000002e-004</v>
      </c>
      <c r="R31" s="298">
        <f t="shared" si="1182"/>
        <v>410</v>
      </c>
      <c r="S31" s="298">
        <f t="shared" si="1183"/>
        <v>51</v>
      </c>
      <c r="T31" s="298">
        <f t="shared" si="1184"/>
        <v>126</v>
      </c>
      <c r="U31" s="298">
        <f t="shared" si="1185"/>
        <v>232</v>
      </c>
      <c r="V31" s="298">
        <f t="shared" si="1186"/>
        <v>1</v>
      </c>
      <c r="W31" s="298">
        <f t="shared" si="1187"/>
        <v>0</v>
      </c>
      <c r="X31" s="303">
        <f t="shared" si="1188"/>
        <v>410</v>
      </c>
      <c r="Y31" s="303">
        <f t="shared" si="1189"/>
        <v>9459</v>
      </c>
      <c r="Z31" s="304" t="s">
        <v>1242</v>
      </c>
      <c r="AA31" s="305">
        <v>28651</v>
      </c>
      <c r="AB31" s="305">
        <v>11289</v>
      </c>
      <c r="AC31" s="305">
        <v>5203</v>
      </c>
      <c r="AD31" s="305">
        <v>12154</v>
      </c>
      <c r="AE31" s="305">
        <v>5</v>
      </c>
      <c r="AF31" s="298">
        <v>75</v>
      </c>
      <c r="AG31" s="303">
        <f t="shared" si="1190"/>
        <v>28726</v>
      </c>
    </row>
    <row r="32" s="202" customFormat="1" ht="15.75">
      <c r="A32" s="308">
        <v>21</v>
      </c>
      <c r="B32" s="306" t="s">
        <v>1224</v>
      </c>
      <c r="C32" s="306" t="s">
        <v>1221</v>
      </c>
      <c r="D32" s="306" t="s">
        <v>1247</v>
      </c>
      <c r="E32" s="309">
        <v>2.1025999999999998</v>
      </c>
      <c r="F32" s="309">
        <v>0.68579999999999997</v>
      </c>
      <c r="G32" s="309">
        <v>0.2147</v>
      </c>
      <c r="H32" s="309">
        <v>0.1244</v>
      </c>
      <c r="I32" s="309">
        <v>3.6600000000000001e-002</v>
      </c>
      <c r="J32" s="309">
        <v>0.2339</v>
      </c>
      <c r="K32" s="309">
        <v>5.8799999999999998e-002</v>
      </c>
      <c r="L32" s="309">
        <v>0.32729999999999998</v>
      </c>
      <c r="M32" s="309">
        <v>0.1192</v>
      </c>
      <c r="N32" s="309">
        <v>2.0000000000000001e-004</v>
      </c>
      <c r="O32" s="309">
        <v>1.e-004</v>
      </c>
      <c r="P32" s="309">
        <v>5.4999999999999997e-003</v>
      </c>
      <c r="Q32" s="309">
        <v>4.1000000000000003e-003</v>
      </c>
      <c r="R32" s="298">
        <f t="shared" si="1182"/>
        <v>4711</v>
      </c>
      <c r="S32" s="298">
        <f t="shared" si="1183"/>
        <v>878</v>
      </c>
      <c r="T32" s="298">
        <f t="shared" si="1184"/>
        <v>1751</v>
      </c>
      <c r="U32" s="298">
        <f t="shared" si="1185"/>
        <v>2081</v>
      </c>
      <c r="V32" s="298">
        <f t="shared" si="1186"/>
        <v>1</v>
      </c>
      <c r="W32" s="298">
        <f t="shared" si="1187"/>
        <v>14</v>
      </c>
      <c r="X32" s="303">
        <f t="shared" si="1188"/>
        <v>4725</v>
      </c>
      <c r="Y32" s="303">
        <f t="shared" si="1189"/>
        <v>80763</v>
      </c>
      <c r="Z32" s="304" t="s">
        <v>1243</v>
      </c>
      <c r="AA32" s="305">
        <v>18040</v>
      </c>
      <c r="AB32" s="305">
        <v>7450</v>
      </c>
      <c r="AC32" s="305">
        <v>3452</v>
      </c>
      <c r="AD32" s="305">
        <v>7135</v>
      </c>
      <c r="AE32" s="305">
        <v>3</v>
      </c>
      <c r="AF32" s="298">
        <v>45</v>
      </c>
      <c r="AG32" s="303">
        <f t="shared" si="1190"/>
        <v>18085</v>
      </c>
    </row>
    <row r="33" s="202" customFormat="1" ht="15.75">
      <c r="A33" s="308">
        <v>22</v>
      </c>
      <c r="B33" s="306" t="s">
        <v>1224</v>
      </c>
      <c r="C33" s="306" t="s">
        <v>1248</v>
      </c>
      <c r="D33" s="306" t="s">
        <v>1249</v>
      </c>
      <c r="E33" s="309">
        <v>1.2200000000000001e-002</v>
      </c>
      <c r="F33" s="309">
        <v>3.8e-003</v>
      </c>
      <c r="G33" s="309">
        <v>1.2999999999999999e-003</v>
      </c>
      <c r="H33" s="309">
        <v>0</v>
      </c>
      <c r="I33" s="309">
        <v>0</v>
      </c>
      <c r="J33" s="309">
        <v>2.0000000000000001e-004</v>
      </c>
      <c r="K33" s="309">
        <v>1.e-004</v>
      </c>
      <c r="L33" s="309">
        <v>3.5999999999999999e-003</v>
      </c>
      <c r="M33" s="309">
        <v>1.1999999999999999e-003</v>
      </c>
      <c r="N33" s="309">
        <v>0</v>
      </c>
      <c r="O33" s="309">
        <v>0</v>
      </c>
      <c r="P33" s="309">
        <v>0</v>
      </c>
      <c r="Q33" s="309">
        <v>0</v>
      </c>
      <c r="R33" s="298">
        <f t="shared" si="1182"/>
        <v>25</v>
      </c>
      <c r="S33" s="298">
        <f t="shared" si="1183"/>
        <v>0</v>
      </c>
      <c r="T33" s="298">
        <f t="shared" si="1184"/>
        <v>1</v>
      </c>
      <c r="U33" s="298">
        <f t="shared" si="1185"/>
        <v>24</v>
      </c>
      <c r="V33" s="298">
        <f t="shared" si="1186"/>
        <v>0</v>
      </c>
      <c r="W33" s="298">
        <f t="shared" si="1187"/>
        <v>0</v>
      </c>
      <c r="X33" s="303">
        <f t="shared" si="1188"/>
        <v>25</v>
      </c>
      <c r="Y33" s="303">
        <f t="shared" si="1189"/>
        <v>2475</v>
      </c>
      <c r="Z33" s="304" t="s">
        <v>1244</v>
      </c>
      <c r="AA33" s="305">
        <v>54703</v>
      </c>
      <c r="AB33" s="305">
        <v>21071</v>
      </c>
      <c r="AC33" s="305">
        <v>12922</v>
      </c>
      <c r="AD33" s="305">
        <v>20703</v>
      </c>
      <c r="AE33" s="305">
        <v>7</v>
      </c>
      <c r="AF33" s="298">
        <v>194</v>
      </c>
      <c r="AG33" s="303">
        <f t="shared" si="1190"/>
        <v>54897</v>
      </c>
    </row>
    <row r="34" s="202" customFormat="1" ht="15.75">
      <c r="A34" s="308">
        <v>23</v>
      </c>
      <c r="B34" s="306" t="s">
        <v>1224</v>
      </c>
      <c r="C34" s="306" t="s">
        <v>1248</v>
      </c>
      <c r="D34" s="306" t="s">
        <v>1250</v>
      </c>
      <c r="E34" s="309">
        <v>5.5100000000000003e-002</v>
      </c>
      <c r="F34" s="309">
        <v>2.18e-002</v>
      </c>
      <c r="G34" s="309">
        <v>8.2000000000000007e-003</v>
      </c>
      <c r="H34" s="309">
        <v>1.8e-003</v>
      </c>
      <c r="I34" s="309">
        <v>4.0000000000000002e-004</v>
      </c>
      <c r="J34" s="309">
        <v>4.5999999999999999e-003</v>
      </c>
      <c r="K34" s="309">
        <v>1.4e-003</v>
      </c>
      <c r="L34" s="309">
        <v>1.54e-002</v>
      </c>
      <c r="M34" s="309">
        <v>6.4000000000000003e-003</v>
      </c>
      <c r="N34" s="309">
        <v>0</v>
      </c>
      <c r="O34" s="309">
        <v>0</v>
      </c>
      <c r="P34" s="309">
        <v>0</v>
      </c>
      <c r="Q34" s="309">
        <v>0</v>
      </c>
      <c r="R34" s="298">
        <f t="shared" si="1182"/>
        <v>136</v>
      </c>
      <c r="S34" s="298">
        <f t="shared" si="1183"/>
        <v>14</v>
      </c>
      <c r="T34" s="298">
        <f t="shared" si="1184"/>
        <v>32</v>
      </c>
      <c r="U34" s="298">
        <f t="shared" si="1185"/>
        <v>90</v>
      </c>
      <c r="V34" s="298">
        <f t="shared" si="1186"/>
        <v>0</v>
      </c>
      <c r="W34" s="298">
        <f t="shared" si="1187"/>
        <v>0</v>
      </c>
      <c r="X34" s="303">
        <f t="shared" si="1188"/>
        <v>136</v>
      </c>
      <c r="Y34" s="303">
        <f t="shared" si="1189"/>
        <v>3417</v>
      </c>
      <c r="Z34" s="304" t="s">
        <v>1245</v>
      </c>
      <c r="AA34" s="305">
        <v>165936</v>
      </c>
      <c r="AB34" s="305">
        <v>22615</v>
      </c>
      <c r="AC34" s="305">
        <v>88528</v>
      </c>
      <c r="AD34" s="305">
        <v>54758</v>
      </c>
      <c r="AE34" s="305">
        <v>35</v>
      </c>
      <c r="AF34" s="298">
        <v>239</v>
      </c>
      <c r="AG34" s="303">
        <f t="shared" si="1190"/>
        <v>166175</v>
      </c>
    </row>
    <row r="35" s="202" customFormat="1" ht="15.75">
      <c r="A35" s="308">
        <v>24</v>
      </c>
      <c r="B35" s="306" t="s">
        <v>1224</v>
      </c>
      <c r="C35" s="306" t="s">
        <v>1248</v>
      </c>
      <c r="D35" s="306" t="s">
        <v>1251</v>
      </c>
      <c r="E35" s="309">
        <v>6.4500000000000002e-002</v>
      </c>
      <c r="F35" s="309">
        <v>2.1299999999999999e-002</v>
      </c>
      <c r="G35" s="309">
        <v>8.9999999999999993e-003</v>
      </c>
      <c r="H35" s="309">
        <v>2.3999999999999998e-003</v>
      </c>
      <c r="I35" s="309">
        <v>1.1000000000000001e-003</v>
      </c>
      <c r="J35" s="309">
        <v>4.7000000000000002e-003</v>
      </c>
      <c r="K35" s="309">
        <v>1.2999999999999999e-003</v>
      </c>
      <c r="L35" s="309">
        <v>1.4200000000000001e-002</v>
      </c>
      <c r="M35" s="309">
        <v>6.6e-003</v>
      </c>
      <c r="N35" s="309">
        <v>0</v>
      </c>
      <c r="O35" s="309">
        <v>0</v>
      </c>
      <c r="P35" s="309">
        <v>1.e-003</v>
      </c>
      <c r="Q35" s="309">
        <v>8.0000000000000004e-004</v>
      </c>
      <c r="R35" s="298">
        <f t="shared" si="1182"/>
        <v>123</v>
      </c>
      <c r="S35" s="298">
        <f t="shared" si="1183"/>
        <v>13</v>
      </c>
      <c r="T35" s="298">
        <f t="shared" si="1184"/>
        <v>34</v>
      </c>
      <c r="U35" s="298">
        <f t="shared" si="1185"/>
        <v>76</v>
      </c>
      <c r="V35" s="298">
        <f t="shared" si="1186"/>
        <v>0</v>
      </c>
      <c r="W35" s="298">
        <f t="shared" si="1187"/>
        <v>2</v>
      </c>
      <c r="X35" s="303">
        <f t="shared" si="1188"/>
        <v>125</v>
      </c>
      <c r="Y35" s="303">
        <f t="shared" si="1189"/>
        <v>3319</v>
      </c>
      <c r="Z35" s="304" t="s">
        <v>1246</v>
      </c>
      <c r="AA35" s="305">
        <v>9430</v>
      </c>
      <c r="AB35" s="305">
        <v>2389</v>
      </c>
      <c r="AC35" s="305">
        <v>2905</v>
      </c>
      <c r="AD35" s="305">
        <v>4130</v>
      </c>
      <c r="AE35" s="305">
        <v>6</v>
      </c>
      <c r="AF35" s="298">
        <v>29</v>
      </c>
      <c r="AG35" s="303">
        <f t="shared" si="1190"/>
        <v>9459</v>
      </c>
    </row>
    <row r="36" s="202" customFormat="1" ht="15.75">
      <c r="A36" s="308">
        <v>25</v>
      </c>
      <c r="B36" s="306" t="s">
        <v>1224</v>
      </c>
      <c r="C36" s="306" t="s">
        <v>1248</v>
      </c>
      <c r="D36" s="306" t="s">
        <v>1252</v>
      </c>
      <c r="E36" s="309">
        <v>3.49e-002</v>
      </c>
      <c r="F36" s="309">
        <v>1.06e-002</v>
      </c>
      <c r="G36" s="309">
        <v>3.0999999999999999e-003</v>
      </c>
      <c r="H36" s="309">
        <v>5.0000000000000001e-004</v>
      </c>
      <c r="I36" s="309">
        <v>2.0000000000000001e-004</v>
      </c>
      <c r="J36" s="309">
        <v>1.1999999999999999e-003</v>
      </c>
      <c r="K36" s="309">
        <v>2.0000000000000001e-004</v>
      </c>
      <c r="L36" s="309">
        <v>8.8999999999999999e-003</v>
      </c>
      <c r="M36" s="309">
        <v>2.7000000000000001e-003</v>
      </c>
      <c r="N36" s="309">
        <v>0</v>
      </c>
      <c r="O36" s="309">
        <v>0</v>
      </c>
      <c r="P36" s="309">
        <v>8.0000000000000004e-004</v>
      </c>
      <c r="Q36" s="309">
        <v>2.0000000000000001e-004</v>
      </c>
      <c r="R36" s="298">
        <f t="shared" si="1182"/>
        <v>75</v>
      </c>
      <c r="S36" s="298">
        <f t="shared" si="1183"/>
        <v>3</v>
      </c>
      <c r="T36" s="298">
        <f t="shared" si="1184"/>
        <v>10</v>
      </c>
      <c r="U36" s="298">
        <f t="shared" si="1185"/>
        <v>62</v>
      </c>
      <c r="V36" s="298">
        <f t="shared" si="1186"/>
        <v>0</v>
      </c>
      <c r="W36" s="298">
        <f t="shared" si="1187"/>
        <v>6</v>
      </c>
      <c r="X36" s="303">
        <f t="shared" si="1188"/>
        <v>81</v>
      </c>
      <c r="Y36" s="303">
        <f t="shared" si="1189"/>
        <v>1112</v>
      </c>
      <c r="Z36" s="304" t="s">
        <v>1247</v>
      </c>
      <c r="AA36" s="305">
        <v>79973</v>
      </c>
      <c r="AB36" s="305">
        <v>16936</v>
      </c>
      <c r="AC36" s="305">
        <v>28436</v>
      </c>
      <c r="AD36" s="305">
        <v>34582</v>
      </c>
      <c r="AE36" s="305">
        <v>19</v>
      </c>
      <c r="AF36" s="298">
        <v>790</v>
      </c>
      <c r="AG36" s="303">
        <f t="shared" si="1190"/>
        <v>80763</v>
      </c>
    </row>
    <row r="37" s="202" customFormat="1" ht="15.75">
      <c r="A37" s="308">
        <v>26</v>
      </c>
      <c r="B37" s="306" t="s">
        <v>1224</v>
      </c>
      <c r="C37" s="306" t="s">
        <v>1248</v>
      </c>
      <c r="D37" s="306" t="s">
        <v>1253</v>
      </c>
      <c r="E37" s="309">
        <v>9.5500000000000002e-002</v>
      </c>
      <c r="F37" s="309">
        <v>3.0599999999999999e-002</v>
      </c>
      <c r="G37" s="309">
        <v>3.8e-003</v>
      </c>
      <c r="H37" s="309">
        <v>3.0999999999999999e-003</v>
      </c>
      <c r="I37" s="309">
        <v>1.e-004</v>
      </c>
      <c r="J37" s="309">
        <v>5.7999999999999996e-003</v>
      </c>
      <c r="K37" s="309">
        <v>1.1999999999999999e-003</v>
      </c>
      <c r="L37" s="309">
        <v>2.1700000000000001e-002</v>
      </c>
      <c r="M37" s="309">
        <v>2.5000000000000001e-003</v>
      </c>
      <c r="N37" s="309">
        <v>0</v>
      </c>
      <c r="O37" s="309">
        <v>0</v>
      </c>
      <c r="P37" s="309">
        <v>0</v>
      </c>
      <c r="Q37" s="309">
        <v>0</v>
      </c>
      <c r="R37" s="298">
        <f t="shared" si="1182"/>
        <v>268</v>
      </c>
      <c r="S37" s="298">
        <f t="shared" si="1183"/>
        <v>30</v>
      </c>
      <c r="T37" s="298">
        <f t="shared" si="1184"/>
        <v>46</v>
      </c>
      <c r="U37" s="298">
        <f t="shared" si="1185"/>
        <v>192</v>
      </c>
      <c r="V37" s="298">
        <f t="shared" si="1186"/>
        <v>0</v>
      </c>
      <c r="W37" s="298">
        <f t="shared" si="1187"/>
        <v>0</v>
      </c>
      <c r="X37" s="303">
        <f t="shared" si="1188"/>
        <v>268</v>
      </c>
      <c r="Y37" s="303">
        <f t="shared" si="1189"/>
        <v>4132</v>
      </c>
      <c r="Z37" s="304" t="s">
        <v>1222</v>
      </c>
      <c r="AA37" s="305">
        <v>98</v>
      </c>
      <c r="AB37" s="305">
        <v>18</v>
      </c>
      <c r="AC37" s="305">
        <v>29</v>
      </c>
      <c r="AD37" s="305">
        <v>51</v>
      </c>
      <c r="AE37" s="305">
        <v>0</v>
      </c>
      <c r="AF37" s="298">
        <v>0</v>
      </c>
      <c r="AG37" s="303">
        <f t="shared" si="1190"/>
        <v>98</v>
      </c>
    </row>
    <row r="38" s="202" customFormat="1" ht="15.75">
      <c r="A38" s="308">
        <v>27</v>
      </c>
      <c r="B38" s="306" t="s">
        <v>1224</v>
      </c>
      <c r="C38" s="306" t="s">
        <v>1248</v>
      </c>
      <c r="D38" s="306" t="s">
        <v>1254</v>
      </c>
      <c r="E38" s="309">
        <v>0.1109</v>
      </c>
      <c r="F38" s="309">
        <v>3.4500000000000003e-002</v>
      </c>
      <c r="G38" s="309">
        <v>7.4000000000000003e-003</v>
      </c>
      <c r="H38" s="309">
        <v>2.3e-003</v>
      </c>
      <c r="I38" s="309">
        <v>2.9999999999999997e-004</v>
      </c>
      <c r="J38" s="309">
        <v>8.8999999999999999e-003</v>
      </c>
      <c r="K38" s="309">
        <v>1.e-003</v>
      </c>
      <c r="L38" s="309">
        <v>2.3300000000000001e-002</v>
      </c>
      <c r="M38" s="309">
        <v>6.1000000000000004e-003</v>
      </c>
      <c r="N38" s="309">
        <v>0</v>
      </c>
      <c r="O38" s="309">
        <v>0</v>
      </c>
      <c r="P38" s="309">
        <v>3.3e-003</v>
      </c>
      <c r="Q38" s="309">
        <v>1.9e-003</v>
      </c>
      <c r="R38" s="298">
        <f t="shared" si="1182"/>
        <v>271</v>
      </c>
      <c r="S38" s="298">
        <f t="shared" si="1183"/>
        <v>20</v>
      </c>
      <c r="T38" s="298">
        <f t="shared" si="1184"/>
        <v>79</v>
      </c>
      <c r="U38" s="298">
        <f t="shared" si="1185"/>
        <v>172</v>
      </c>
      <c r="V38" s="298">
        <f t="shared" si="1186"/>
        <v>0</v>
      </c>
      <c r="W38" s="298">
        <f t="shared" si="1187"/>
        <v>14</v>
      </c>
      <c r="X38" s="303">
        <f t="shared" si="1188"/>
        <v>285</v>
      </c>
      <c r="Y38" s="303">
        <f t="shared" si="1189"/>
        <v>5658</v>
      </c>
      <c r="Z38" s="304" t="s">
        <v>1249</v>
      </c>
      <c r="AA38" s="305">
        <v>2470</v>
      </c>
      <c r="AB38" s="305">
        <v>177</v>
      </c>
      <c r="AC38" s="305">
        <v>252</v>
      </c>
      <c r="AD38" s="305">
        <v>2041</v>
      </c>
      <c r="AE38" s="305">
        <v>0</v>
      </c>
      <c r="AF38" s="298">
        <v>5</v>
      </c>
      <c r="AG38" s="303">
        <f t="shared" si="1190"/>
        <v>2475</v>
      </c>
    </row>
    <row r="39" s="202" customFormat="1" ht="15.75">
      <c r="A39" s="308">
        <v>28</v>
      </c>
      <c r="B39" s="306" t="s">
        <v>1224</v>
      </c>
      <c r="C39" s="306" t="s">
        <v>1248</v>
      </c>
      <c r="D39" s="306" t="s">
        <v>1255</v>
      </c>
      <c r="E39" s="309">
        <v>0.17449999999999999</v>
      </c>
      <c r="F39" s="309">
        <v>5.11e-002</v>
      </c>
      <c r="G39" s="309">
        <v>1.4500000000000001e-002</v>
      </c>
      <c r="H39" s="309">
        <v>6.4000000000000003e-003</v>
      </c>
      <c r="I39" s="309">
        <v>1.4e-003</v>
      </c>
      <c r="J39" s="309">
        <v>2.e-002</v>
      </c>
      <c r="K39" s="309">
        <v>5.0000000000000001e-003</v>
      </c>
      <c r="L39" s="309">
        <v>2.47e-002</v>
      </c>
      <c r="M39" s="309">
        <v>8.0999999999999996e-003</v>
      </c>
      <c r="N39" s="309">
        <v>0</v>
      </c>
      <c r="O39" s="309">
        <v>0</v>
      </c>
      <c r="P39" s="309">
        <v>1.6999999999999999e-003</v>
      </c>
      <c r="Q39" s="309">
        <v>6.9999999999999999e-004</v>
      </c>
      <c r="R39" s="298">
        <f t="shared" si="1182"/>
        <v>366</v>
      </c>
      <c r="S39" s="298">
        <f t="shared" si="1183"/>
        <v>50</v>
      </c>
      <c r="T39" s="298">
        <f t="shared" si="1184"/>
        <v>150</v>
      </c>
      <c r="U39" s="298">
        <f t="shared" si="1185"/>
        <v>166</v>
      </c>
      <c r="V39" s="298">
        <f t="shared" si="1186"/>
        <v>0</v>
      </c>
      <c r="W39" s="298">
        <f t="shared" si="1187"/>
        <v>10</v>
      </c>
      <c r="X39" s="303">
        <f t="shared" si="1188"/>
        <v>376</v>
      </c>
      <c r="Y39" s="303">
        <f t="shared" si="1189"/>
        <v>4382</v>
      </c>
      <c r="Z39" s="304" t="s">
        <v>1250</v>
      </c>
      <c r="AA39" s="305">
        <v>3408</v>
      </c>
      <c r="AB39" s="305">
        <v>615</v>
      </c>
      <c r="AC39" s="305">
        <v>1025</v>
      </c>
      <c r="AD39" s="305">
        <v>1768</v>
      </c>
      <c r="AE39" s="305">
        <v>0</v>
      </c>
      <c r="AF39" s="298">
        <v>9</v>
      </c>
      <c r="AG39" s="303">
        <f t="shared" si="1190"/>
        <v>3417</v>
      </c>
    </row>
    <row r="40" s="202" customFormat="1" ht="15.75">
      <c r="A40" s="308">
        <v>29</v>
      </c>
      <c r="B40" s="306" t="s">
        <v>1224</v>
      </c>
      <c r="C40" s="306" t="s">
        <v>1248</v>
      </c>
      <c r="D40" s="306" t="s">
        <v>1256</v>
      </c>
      <c r="E40" s="309">
        <v>0.19320000000000001</v>
      </c>
      <c r="F40" s="309">
        <v>6.6900000000000001e-002</v>
      </c>
      <c r="G40" s="309">
        <v>2.24e-002</v>
      </c>
      <c r="H40" s="309">
        <v>4.7999999999999996e-003</v>
      </c>
      <c r="I40" s="309">
        <v>1.5e-003</v>
      </c>
      <c r="J40" s="309">
        <v>1.0699999999999999e-002</v>
      </c>
      <c r="K40" s="309">
        <v>2.3999999999999998e-003</v>
      </c>
      <c r="L40" s="309">
        <v>5.1400000000000001e-002</v>
      </c>
      <c r="M40" s="309">
        <v>1.8499999999999999e-002</v>
      </c>
      <c r="N40" s="309">
        <v>0</v>
      </c>
      <c r="O40" s="309">
        <v>0</v>
      </c>
      <c r="P40" s="309">
        <v>1.9e-003</v>
      </c>
      <c r="Q40" s="309">
        <v>1.6000000000000001e-003</v>
      </c>
      <c r="R40" s="298">
        <f t="shared" si="1182"/>
        <v>445</v>
      </c>
      <c r="S40" s="298">
        <f t="shared" si="1183"/>
        <v>33</v>
      </c>
      <c r="T40" s="298">
        <f t="shared" si="1184"/>
        <v>83</v>
      </c>
      <c r="U40" s="298">
        <f t="shared" si="1185"/>
        <v>329</v>
      </c>
      <c r="V40" s="298">
        <f t="shared" si="1186"/>
        <v>0</v>
      </c>
      <c r="W40" s="298">
        <f t="shared" si="1187"/>
        <v>3</v>
      </c>
      <c r="X40" s="303">
        <f t="shared" si="1188"/>
        <v>448</v>
      </c>
      <c r="Y40" s="303">
        <f t="shared" si="1189"/>
        <v>5111</v>
      </c>
      <c r="Z40" s="304" t="s">
        <v>1251</v>
      </c>
      <c r="AA40" s="305">
        <v>3262</v>
      </c>
      <c r="AB40" s="305">
        <v>340</v>
      </c>
      <c r="AC40" s="305">
        <v>841</v>
      </c>
      <c r="AD40" s="305">
        <v>2080</v>
      </c>
      <c r="AE40" s="305">
        <v>1</v>
      </c>
      <c r="AF40" s="298">
        <v>57</v>
      </c>
      <c r="AG40" s="303">
        <f t="shared" si="1190"/>
        <v>3319</v>
      </c>
    </row>
    <row r="41" s="202" customFormat="1" ht="15.75">
      <c r="A41" s="308">
        <v>30</v>
      </c>
      <c r="B41" s="306" t="s">
        <v>1224</v>
      </c>
      <c r="C41" s="306" t="s">
        <v>1248</v>
      </c>
      <c r="D41" s="306" t="s">
        <v>1257</v>
      </c>
      <c r="E41" s="309">
        <v>0.32919999999999999</v>
      </c>
      <c r="F41" s="309">
        <v>0.10879999999999999</v>
      </c>
      <c r="G41" s="309">
        <v>4.2000000000000003e-002</v>
      </c>
      <c r="H41" s="309">
        <v>2.75e-002</v>
      </c>
      <c r="I41" s="309">
        <v>1.04e-002</v>
      </c>
      <c r="J41" s="309">
        <v>2.12e-002</v>
      </c>
      <c r="K41" s="309">
        <v>1.e-002</v>
      </c>
      <c r="L41" s="309">
        <v>5.9999999999999998e-002</v>
      </c>
      <c r="M41" s="309">
        <v>2.1499999999999998e-002</v>
      </c>
      <c r="N41" s="309">
        <v>1.e-004</v>
      </c>
      <c r="O41" s="309">
        <v>1.e-004</v>
      </c>
      <c r="P41" s="309">
        <v>1.1999999999999999e-003</v>
      </c>
      <c r="Q41" s="309">
        <v>1.1000000000000001e-003</v>
      </c>
      <c r="R41" s="298">
        <f t="shared" si="1182"/>
        <v>668</v>
      </c>
      <c r="S41" s="298">
        <f t="shared" si="1183"/>
        <v>171</v>
      </c>
      <c r="T41" s="298">
        <f t="shared" si="1184"/>
        <v>112</v>
      </c>
      <c r="U41" s="298">
        <f t="shared" si="1185"/>
        <v>385</v>
      </c>
      <c r="V41" s="298">
        <f t="shared" si="1186"/>
        <v>0</v>
      </c>
      <c r="W41" s="298">
        <f t="shared" si="1187"/>
        <v>0.999999999999998</v>
      </c>
      <c r="X41" s="303">
        <f t="shared" si="1188"/>
        <v>669</v>
      </c>
      <c r="Y41" s="303">
        <f t="shared" si="1189"/>
        <v>10940</v>
      </c>
      <c r="Z41" s="304" t="s">
        <v>1252</v>
      </c>
      <c r="AA41" s="305">
        <v>1094</v>
      </c>
      <c r="AB41" s="305">
        <v>47</v>
      </c>
      <c r="AC41" s="305">
        <v>155</v>
      </c>
      <c r="AD41" s="305">
        <v>892</v>
      </c>
      <c r="AE41" s="305">
        <v>0</v>
      </c>
      <c r="AF41" s="298">
        <v>18</v>
      </c>
      <c r="AG41" s="303">
        <f t="shared" si="1190"/>
        <v>1112</v>
      </c>
    </row>
    <row r="42" s="202" customFormat="1" ht="15.75">
      <c r="A42" s="308">
        <v>31</v>
      </c>
      <c r="B42" s="306" t="s">
        <v>1224</v>
      </c>
      <c r="C42" s="306" t="s">
        <v>1258</v>
      </c>
      <c r="D42" s="306" t="s">
        <v>1259</v>
      </c>
      <c r="E42" s="309">
        <v>1.8591</v>
      </c>
      <c r="F42" s="309">
        <v>0.53820000000000001</v>
      </c>
      <c r="G42" s="309">
        <v>0.25690000000000002</v>
      </c>
      <c r="H42" s="309">
        <v>0.1114</v>
      </c>
      <c r="I42" s="309">
        <v>4.8899999999999999e-002</v>
      </c>
      <c r="J42" s="309">
        <v>6.2100000000000002e-002</v>
      </c>
      <c r="K42" s="309">
        <v>2.4400000000000002e-002</v>
      </c>
      <c r="L42" s="309">
        <v>0.36430000000000001</v>
      </c>
      <c r="M42" s="309">
        <v>0.18329999999999999</v>
      </c>
      <c r="N42" s="309">
        <v>4.0000000000000002e-004</v>
      </c>
      <c r="O42" s="309">
        <v>2.9999999999999997e-004</v>
      </c>
      <c r="P42" s="309">
        <v>1.09e-002</v>
      </c>
      <c r="Q42" s="309">
        <v>1.0800000000000001e-002</v>
      </c>
      <c r="R42" s="298">
        <f t="shared" si="1182"/>
        <v>2813</v>
      </c>
      <c r="S42" s="298">
        <f t="shared" si="1183"/>
        <v>625</v>
      </c>
      <c r="T42" s="298">
        <f t="shared" si="1184"/>
        <v>377</v>
      </c>
      <c r="U42" s="298">
        <f t="shared" si="1185"/>
        <v>1810</v>
      </c>
      <c r="V42" s="298">
        <f t="shared" si="1186"/>
        <v>1</v>
      </c>
      <c r="W42" s="298">
        <f t="shared" si="1187"/>
        <v>0.999999999999994</v>
      </c>
      <c r="X42" s="303">
        <f t="shared" si="1188"/>
        <v>2814</v>
      </c>
      <c r="Y42" s="303">
        <f t="shared" si="1189"/>
        <v>40724</v>
      </c>
      <c r="Z42" s="304" t="s">
        <v>1253</v>
      </c>
      <c r="AA42" s="305">
        <v>4130</v>
      </c>
      <c r="AB42" s="305">
        <v>469</v>
      </c>
      <c r="AC42" s="305">
        <v>953</v>
      </c>
      <c r="AD42" s="305">
        <v>2706</v>
      </c>
      <c r="AE42" s="305">
        <v>2</v>
      </c>
      <c r="AF42" s="298">
        <v>2</v>
      </c>
      <c r="AG42" s="303">
        <f t="shared" si="1190"/>
        <v>4132</v>
      </c>
    </row>
    <row r="43" s="202" customFormat="1" ht="15.75">
      <c r="A43" s="308">
        <v>32</v>
      </c>
      <c r="B43" s="306" t="s">
        <v>1224</v>
      </c>
      <c r="C43" s="306" t="s">
        <v>1258</v>
      </c>
      <c r="D43" s="306" t="s">
        <v>1260</v>
      </c>
      <c r="E43" s="309">
        <v>1.0063</v>
      </c>
      <c r="F43" s="309">
        <v>0.27939999999999998</v>
      </c>
      <c r="G43" s="309">
        <v>0.18770000000000001</v>
      </c>
      <c r="H43" s="309">
        <v>6.25e-002</v>
      </c>
      <c r="I43" s="309">
        <v>3.8600000000000002e-002</v>
      </c>
      <c r="J43" s="309">
        <v>3.5299999999999998e-002</v>
      </c>
      <c r="K43" s="309">
        <v>2.1899999999999999e-002</v>
      </c>
      <c r="L43" s="309">
        <v>0.18140000000000001</v>
      </c>
      <c r="M43" s="309">
        <v>0.127</v>
      </c>
      <c r="N43" s="309">
        <v>2.0000000000000001e-004</v>
      </c>
      <c r="O43" s="309">
        <v>2.0000000000000001e-004</v>
      </c>
      <c r="P43" s="309">
        <v>7.0000000000000001e-003</v>
      </c>
      <c r="Q43" s="309">
        <v>6.1000000000000004e-003</v>
      </c>
      <c r="R43" s="298">
        <f t="shared" si="1182"/>
        <v>917</v>
      </c>
      <c r="S43" s="298">
        <f t="shared" si="1183"/>
        <v>239</v>
      </c>
      <c r="T43" s="298">
        <f t="shared" si="1184"/>
        <v>134</v>
      </c>
      <c r="U43" s="298">
        <f t="shared" si="1185"/>
        <v>544</v>
      </c>
      <c r="V43" s="298">
        <f t="shared" si="1186"/>
        <v>0</v>
      </c>
      <c r="W43" s="298">
        <f t="shared" si="1187"/>
        <v>9</v>
      </c>
      <c r="X43" s="303">
        <f t="shared" si="1188"/>
        <v>926</v>
      </c>
      <c r="Y43" s="303">
        <f t="shared" si="1189"/>
        <v>33818</v>
      </c>
      <c r="Z43" s="304" t="s">
        <v>1254</v>
      </c>
      <c r="AA43" s="305">
        <v>5303</v>
      </c>
      <c r="AB43" s="305">
        <v>460</v>
      </c>
      <c r="AC43" s="305">
        <v>1562</v>
      </c>
      <c r="AD43" s="305">
        <v>3279</v>
      </c>
      <c r="AE43" s="305">
        <v>2</v>
      </c>
      <c r="AF43" s="298">
        <v>355</v>
      </c>
      <c r="AG43" s="303">
        <f t="shared" si="1190"/>
        <v>5658</v>
      </c>
    </row>
    <row r="44" s="202" customFormat="1" ht="15.75">
      <c r="A44" s="308">
        <v>33</v>
      </c>
      <c r="B44" s="306" t="s">
        <v>1224</v>
      </c>
      <c r="C44" s="306" t="s">
        <v>1258</v>
      </c>
      <c r="D44" s="306" t="s">
        <v>1261</v>
      </c>
      <c r="E44" s="309">
        <v>1.0843</v>
      </c>
      <c r="F44" s="309">
        <v>0.317</v>
      </c>
      <c r="G44" s="309">
        <v>0.15959999999999999</v>
      </c>
      <c r="H44" s="309">
        <v>4.9099999999999998e-002</v>
      </c>
      <c r="I44" s="309">
        <v>2.0500000000000001e-002</v>
      </c>
      <c r="J44" s="309">
        <v>3.04e-002</v>
      </c>
      <c r="K44" s="309">
        <v>1.4e-002</v>
      </c>
      <c r="L44" s="309">
        <v>0.23730000000000001</v>
      </c>
      <c r="M44" s="309">
        <v>0.125</v>
      </c>
      <c r="N44" s="309">
        <v>2.0000000000000001e-004</v>
      </c>
      <c r="O44" s="309">
        <v>1.e-004</v>
      </c>
      <c r="P44" s="309">
        <v>9.4999999999999998e-003</v>
      </c>
      <c r="Q44" s="309">
        <v>6.7999999999999996e-003</v>
      </c>
      <c r="R44" s="298">
        <f t="shared" si="1182"/>
        <v>1574</v>
      </c>
      <c r="S44" s="298">
        <f t="shared" si="1183"/>
        <v>286</v>
      </c>
      <c r="T44" s="298">
        <f t="shared" si="1184"/>
        <v>164</v>
      </c>
      <c r="U44" s="298">
        <f t="shared" si="1185"/>
        <v>1123</v>
      </c>
      <c r="V44" s="298">
        <f t="shared" si="1186"/>
        <v>1</v>
      </c>
      <c r="W44" s="298">
        <f t="shared" si="1187"/>
        <v>27</v>
      </c>
      <c r="X44" s="303">
        <f t="shared" si="1188"/>
        <v>1601</v>
      </c>
      <c r="Y44" s="303">
        <f t="shared" si="1189"/>
        <v>22488</v>
      </c>
      <c r="Z44" s="304" t="s">
        <v>1255</v>
      </c>
      <c r="AA44" s="305">
        <v>4297</v>
      </c>
      <c r="AB44" s="305">
        <v>515</v>
      </c>
      <c r="AC44" s="305">
        <v>1898</v>
      </c>
      <c r="AD44" s="305">
        <v>1880</v>
      </c>
      <c r="AE44" s="305">
        <v>4</v>
      </c>
      <c r="AF44" s="298">
        <v>85</v>
      </c>
      <c r="AG44" s="303">
        <f t="shared" si="1190"/>
        <v>4382</v>
      </c>
    </row>
    <row r="45" s="202" customFormat="1" ht="15.75">
      <c r="A45" s="308">
        <v>34</v>
      </c>
      <c r="B45" s="306" t="s">
        <v>1224</v>
      </c>
      <c r="C45" s="306" t="s">
        <v>1258</v>
      </c>
      <c r="D45" s="306" t="s">
        <v>1262</v>
      </c>
      <c r="E45" s="309">
        <v>0.98699999999999999</v>
      </c>
      <c r="F45" s="309">
        <v>0.23880000000000001</v>
      </c>
      <c r="G45" s="309">
        <v>0.14230000000000001</v>
      </c>
      <c r="H45" s="309">
        <v>2.3199999999999998e-002</v>
      </c>
      <c r="I45" s="309">
        <v>1.1900000000000001e-002</v>
      </c>
      <c r="J45" s="309">
        <v>5.1999999999999998e-002</v>
      </c>
      <c r="K45" s="309">
        <v>2.9399999999999999e-002</v>
      </c>
      <c r="L45" s="309">
        <v>0.1633</v>
      </c>
      <c r="M45" s="309">
        <v>0.1008</v>
      </c>
      <c r="N45" s="309">
        <v>2.9999999999999997e-004</v>
      </c>
      <c r="O45" s="309">
        <v>2.0000000000000001e-004</v>
      </c>
      <c r="P45" s="309">
        <v>8.6e-003</v>
      </c>
      <c r="Q45" s="309">
        <v>7.6e-003</v>
      </c>
      <c r="R45" s="298">
        <f t="shared" si="1182"/>
        <v>965</v>
      </c>
      <c r="S45" s="298">
        <f t="shared" si="1183"/>
        <v>113</v>
      </c>
      <c r="T45" s="298">
        <f t="shared" si="1184"/>
        <v>226</v>
      </c>
      <c r="U45" s="298">
        <f t="shared" si="1185"/>
        <v>625</v>
      </c>
      <c r="V45" s="298">
        <f t="shared" si="1186"/>
        <v>1</v>
      </c>
      <c r="W45" s="298">
        <f t="shared" si="1187"/>
        <v>10</v>
      </c>
      <c r="X45" s="303">
        <f t="shared" si="1188"/>
        <v>975</v>
      </c>
      <c r="Y45" s="303">
        <f t="shared" si="1189"/>
        <v>18998</v>
      </c>
      <c r="Z45" s="304" t="s">
        <v>1256</v>
      </c>
      <c r="AA45" s="305">
        <v>5027</v>
      </c>
      <c r="AB45" s="305">
        <v>568</v>
      </c>
      <c r="AC45" s="305">
        <v>1195</v>
      </c>
      <c r="AD45" s="305">
        <v>3264</v>
      </c>
      <c r="AE45" s="305">
        <v>0</v>
      </c>
      <c r="AF45" s="298">
        <v>84</v>
      </c>
      <c r="AG45" s="303">
        <f t="shared" si="1190"/>
        <v>5111</v>
      </c>
    </row>
    <row r="46" s="202" customFormat="1" ht="15.75">
      <c r="A46" s="308">
        <v>35</v>
      </c>
      <c r="B46" s="306" t="s">
        <v>1224</v>
      </c>
      <c r="C46" s="306" t="s">
        <v>1258</v>
      </c>
      <c r="D46" s="306" t="s">
        <v>1263</v>
      </c>
      <c r="E46" s="309">
        <v>0.97319999999999995</v>
      </c>
      <c r="F46" s="309">
        <v>0.25750000000000001</v>
      </c>
      <c r="G46" s="309">
        <v>0.1545</v>
      </c>
      <c r="H46" s="309">
        <v>6.7400000000000002e-002</v>
      </c>
      <c r="I46" s="309">
        <v>4.1200000000000001e-002</v>
      </c>
      <c r="J46" s="309">
        <v>2.6200000000000001e-002</v>
      </c>
      <c r="K46" s="309">
        <v>1.49e-002</v>
      </c>
      <c r="L46" s="309">
        <v>0.16370000000000001</v>
      </c>
      <c r="M46" s="309">
        <v>9.8199999999999996e-002</v>
      </c>
      <c r="N46" s="309">
        <v>2.0000000000000001e-004</v>
      </c>
      <c r="O46" s="309">
        <v>2.0000000000000001e-004</v>
      </c>
      <c r="P46" s="309">
        <v>1.4e-003</v>
      </c>
      <c r="Q46" s="309">
        <v>1.4e-003</v>
      </c>
      <c r="R46" s="298">
        <f t="shared" si="1182"/>
        <v>1030</v>
      </c>
      <c r="S46" s="298">
        <f t="shared" si="1183"/>
        <v>262</v>
      </c>
      <c r="T46" s="298">
        <f t="shared" si="1184"/>
        <v>113</v>
      </c>
      <c r="U46" s="298">
        <f t="shared" si="1185"/>
        <v>655</v>
      </c>
      <c r="V46" s="298">
        <f t="shared" si="1186"/>
        <v>0</v>
      </c>
      <c r="W46" s="298">
        <f t="shared" si="1187"/>
        <v>0</v>
      </c>
      <c r="X46" s="303">
        <f t="shared" si="1188"/>
        <v>1030</v>
      </c>
      <c r="Y46" s="303">
        <f t="shared" si="1189"/>
        <v>31036</v>
      </c>
      <c r="Z46" s="304" t="s">
        <v>1257</v>
      </c>
      <c r="AA46" s="305">
        <v>10856</v>
      </c>
      <c r="AB46" s="305">
        <v>3617</v>
      </c>
      <c r="AC46" s="305">
        <v>2655</v>
      </c>
      <c r="AD46" s="305">
        <v>4579</v>
      </c>
      <c r="AE46" s="305">
        <v>5</v>
      </c>
      <c r="AF46" s="298">
        <v>84</v>
      </c>
      <c r="AG46" s="303">
        <f t="shared" si="1190"/>
        <v>10940</v>
      </c>
    </row>
    <row r="47" s="202" customFormat="1" ht="15.75">
      <c r="A47" s="308">
        <v>36</v>
      </c>
      <c r="B47" s="306" t="s">
        <v>1224</v>
      </c>
      <c r="C47" s="306" t="s">
        <v>1264</v>
      </c>
      <c r="D47" s="306" t="s">
        <v>1265</v>
      </c>
      <c r="E47" s="309">
        <v>1.9908999999999999</v>
      </c>
      <c r="F47" s="309">
        <v>0.75970000000000004</v>
      </c>
      <c r="G47" s="309">
        <v>0.4778</v>
      </c>
      <c r="H47" s="309">
        <v>0.2283</v>
      </c>
      <c r="I47" s="309">
        <v>0.13650000000000001</v>
      </c>
      <c r="J47" s="309">
        <v>9.0800000000000006e-002</v>
      </c>
      <c r="K47" s="309">
        <v>5.3699999999999998e-002</v>
      </c>
      <c r="L47" s="309">
        <v>0.4405</v>
      </c>
      <c r="M47" s="309">
        <v>0.28760000000000002</v>
      </c>
      <c r="N47" s="309">
        <v>1.e-004</v>
      </c>
      <c r="O47" s="309">
        <v>0</v>
      </c>
      <c r="P47" s="309">
        <v>2.9999999999999997e-004</v>
      </c>
      <c r="Q47" s="309">
        <v>1.e-004</v>
      </c>
      <c r="R47" s="298">
        <f t="shared" si="1182"/>
        <v>2819</v>
      </c>
      <c r="S47" s="298">
        <f t="shared" si="1183"/>
        <v>918</v>
      </c>
      <c r="T47" s="298">
        <f t="shared" si="1184"/>
        <v>371</v>
      </c>
      <c r="U47" s="298">
        <f t="shared" si="1185"/>
        <v>1529</v>
      </c>
      <c r="V47" s="298">
        <f t="shared" si="1186"/>
        <v>1</v>
      </c>
      <c r="W47" s="298">
        <f t="shared" si="1187"/>
        <v>2</v>
      </c>
      <c r="X47" s="303">
        <f t="shared" si="1188"/>
        <v>2821</v>
      </c>
      <c r="Y47" s="303">
        <f t="shared" si="1189"/>
        <v>123826</v>
      </c>
      <c r="Z47" s="304" t="s">
        <v>1259</v>
      </c>
      <c r="AA47" s="305">
        <v>40082</v>
      </c>
      <c r="AB47" s="305">
        <v>12227</v>
      </c>
      <c r="AC47" s="305">
        <v>6326</v>
      </c>
      <c r="AD47" s="305">
        <v>21504</v>
      </c>
      <c r="AE47" s="305">
        <v>25</v>
      </c>
      <c r="AF47" s="298">
        <v>642</v>
      </c>
      <c r="AG47" s="303">
        <f t="shared" si="1190"/>
        <v>40724</v>
      </c>
    </row>
    <row r="48" s="202" customFormat="1" ht="15.75">
      <c r="A48" s="308">
        <v>37</v>
      </c>
      <c r="B48" s="306" t="s">
        <v>1224</v>
      </c>
      <c r="C48" s="306" t="s">
        <v>1264</v>
      </c>
      <c r="D48" s="306" t="s">
        <v>1266</v>
      </c>
      <c r="E48" s="309">
        <v>1.4731000000000001</v>
      </c>
      <c r="F48" s="309">
        <v>0.50280000000000002</v>
      </c>
      <c r="G48" s="309">
        <v>0.28789999999999999</v>
      </c>
      <c r="H48" s="309">
        <v>0.17849999999999999</v>
      </c>
      <c r="I48" s="309">
        <v>0.1013</v>
      </c>
      <c r="J48" s="309">
        <v>0.12520000000000001</v>
      </c>
      <c r="K48" s="309">
        <v>6.6100000000000006e-002</v>
      </c>
      <c r="L48" s="309">
        <v>0.19900000000000001</v>
      </c>
      <c r="M48" s="309">
        <v>0.12039999999999999</v>
      </c>
      <c r="N48" s="309">
        <v>1.e-004</v>
      </c>
      <c r="O48" s="309">
        <v>1.e-004</v>
      </c>
      <c r="P48" s="309">
        <v>5.0000000000000001e-004</v>
      </c>
      <c r="Q48" s="309">
        <v>4.0000000000000002e-004</v>
      </c>
      <c r="R48" s="298">
        <f t="shared" si="1182"/>
        <v>2149</v>
      </c>
      <c r="S48" s="298">
        <f t="shared" si="1183"/>
        <v>772</v>
      </c>
      <c r="T48" s="298">
        <f t="shared" si="1184"/>
        <v>591</v>
      </c>
      <c r="U48" s="298">
        <f t="shared" si="1185"/>
        <v>786</v>
      </c>
      <c r="V48" s="298">
        <f t="shared" si="1186"/>
        <v>0</v>
      </c>
      <c r="W48" s="298">
        <f t="shared" si="1187"/>
        <v>1</v>
      </c>
      <c r="X48" s="303">
        <f t="shared" si="1188"/>
        <v>2150</v>
      </c>
      <c r="Y48" s="303">
        <f t="shared" si="1189"/>
        <v>69155</v>
      </c>
      <c r="Z48" s="304" t="s">
        <v>1260</v>
      </c>
      <c r="AA48" s="305">
        <v>33466</v>
      </c>
      <c r="AB48" s="305">
        <v>13038</v>
      </c>
      <c r="AC48" s="305">
        <v>5774</v>
      </c>
      <c r="AD48" s="305">
        <v>14600</v>
      </c>
      <c r="AE48" s="305">
        <v>54</v>
      </c>
      <c r="AF48" s="298">
        <v>352</v>
      </c>
      <c r="AG48" s="303">
        <f t="shared" si="1190"/>
        <v>33818</v>
      </c>
    </row>
    <row r="49" s="202" customFormat="1" ht="15.75">
      <c r="A49" s="308">
        <v>38</v>
      </c>
      <c r="B49" s="306" t="s">
        <v>1224</v>
      </c>
      <c r="C49" s="306" t="s">
        <v>1264</v>
      </c>
      <c r="D49" s="306" t="s">
        <v>1267</v>
      </c>
      <c r="E49" s="309">
        <v>2.1282999999999999</v>
      </c>
      <c r="F49" s="309">
        <v>0.72860000000000003</v>
      </c>
      <c r="G49" s="309">
        <v>0.39119999999999999</v>
      </c>
      <c r="H49" s="309">
        <v>0.14680000000000001</v>
      </c>
      <c r="I49" s="309">
        <v>7.3200000000000001e-002</v>
      </c>
      <c r="J49" s="309">
        <v>0.219</v>
      </c>
      <c r="K49" s="309">
        <v>0.11119999999999999</v>
      </c>
      <c r="L49" s="309">
        <v>0.36280000000000001</v>
      </c>
      <c r="M49" s="309">
        <v>0.20680000000000001</v>
      </c>
      <c r="N49" s="309">
        <v>0</v>
      </c>
      <c r="O49" s="309">
        <v>0</v>
      </c>
      <c r="P49" s="309">
        <v>1.e-004</v>
      </c>
      <c r="Q49" s="309">
        <v>1.e-004</v>
      </c>
      <c r="R49" s="298">
        <f t="shared" si="1182"/>
        <v>3374</v>
      </c>
      <c r="S49" s="298">
        <f t="shared" si="1183"/>
        <v>736</v>
      </c>
      <c r="T49" s="298">
        <f t="shared" si="1184"/>
        <v>1078</v>
      </c>
      <c r="U49" s="298">
        <f t="shared" si="1185"/>
        <v>1560</v>
      </c>
      <c r="V49" s="298">
        <f t="shared" si="1186"/>
        <v>0</v>
      </c>
      <c r="W49" s="298">
        <f t="shared" si="1187"/>
        <v>0</v>
      </c>
      <c r="X49" s="303">
        <f t="shared" si="1188"/>
        <v>3374</v>
      </c>
      <c r="Y49" s="303">
        <f t="shared" si="1189"/>
        <v>81550</v>
      </c>
      <c r="Z49" s="304" t="s">
        <v>1261</v>
      </c>
      <c r="AA49" s="305">
        <v>22192</v>
      </c>
      <c r="AB49" s="305">
        <v>4787</v>
      </c>
      <c r="AC49" s="305">
        <v>2951</v>
      </c>
      <c r="AD49" s="305">
        <v>14439</v>
      </c>
      <c r="AE49" s="305">
        <v>15</v>
      </c>
      <c r="AF49" s="298">
        <v>296</v>
      </c>
      <c r="AG49" s="303">
        <f t="shared" si="1190"/>
        <v>22488</v>
      </c>
    </row>
    <row r="50" s="202" customFormat="1" ht="15.75">
      <c r="A50" s="308">
        <v>39</v>
      </c>
      <c r="B50" s="306" t="s">
        <v>1224</v>
      </c>
      <c r="C50" s="306" t="s">
        <v>1264</v>
      </c>
      <c r="D50" s="306" t="s">
        <v>1268</v>
      </c>
      <c r="E50" s="309">
        <v>1.2294</v>
      </c>
      <c r="F50" s="309">
        <v>0.44400000000000001</v>
      </c>
      <c r="G50" s="309">
        <v>0.21160000000000001</v>
      </c>
      <c r="H50" s="309">
        <v>0.20130000000000001</v>
      </c>
      <c r="I50" s="309">
        <v>9.6299999999999997e-002</v>
      </c>
      <c r="J50" s="309">
        <v>4.07e-002</v>
      </c>
      <c r="K50" s="309">
        <v>1.77e-002</v>
      </c>
      <c r="L50" s="309">
        <v>0.20200000000000001</v>
      </c>
      <c r="M50" s="309">
        <v>9.7600000000000006e-002</v>
      </c>
      <c r="N50" s="309">
        <v>0</v>
      </c>
      <c r="O50" s="309">
        <v>0</v>
      </c>
      <c r="P50" s="309">
        <v>1.9e-003</v>
      </c>
      <c r="Q50" s="309">
        <v>6.9999999999999999e-004</v>
      </c>
      <c r="R50" s="298">
        <f t="shared" si="1182"/>
        <v>2324</v>
      </c>
      <c r="S50" s="298">
        <f t="shared" si="1183"/>
        <v>1050</v>
      </c>
      <c r="T50" s="298">
        <f t="shared" si="1184"/>
        <v>230</v>
      </c>
      <c r="U50" s="298">
        <f t="shared" si="1185"/>
        <v>1044</v>
      </c>
      <c r="V50" s="298">
        <f t="shared" si="1186"/>
        <v>0</v>
      </c>
      <c r="W50" s="298">
        <f t="shared" si="1187"/>
        <v>12</v>
      </c>
      <c r="X50" s="303">
        <f t="shared" si="1188"/>
        <v>2336</v>
      </c>
      <c r="Y50" s="303">
        <f t="shared" si="1189"/>
        <v>56450</v>
      </c>
      <c r="Z50" s="304" t="s">
        <v>1262</v>
      </c>
      <c r="AA50" s="305">
        <v>18687</v>
      </c>
      <c r="AB50" s="305">
        <v>2627</v>
      </c>
      <c r="AC50" s="305">
        <v>5595</v>
      </c>
      <c r="AD50" s="305">
        <v>10455</v>
      </c>
      <c r="AE50" s="305">
        <v>10</v>
      </c>
      <c r="AF50" s="298">
        <v>311</v>
      </c>
      <c r="AG50" s="303">
        <f t="shared" si="1190"/>
        <v>18998</v>
      </c>
    </row>
    <row r="51" s="202" customFormat="1" ht="15.75">
      <c r="A51" s="308">
        <v>40</v>
      </c>
      <c r="B51" s="306" t="s">
        <v>1224</v>
      </c>
      <c r="C51" s="306" t="s">
        <v>1264</v>
      </c>
      <c r="D51" s="306" t="s">
        <v>1269</v>
      </c>
      <c r="E51" s="309">
        <v>1.8084</v>
      </c>
      <c r="F51" s="309">
        <v>0.72519999999999996</v>
      </c>
      <c r="G51" s="309">
        <v>0.3281</v>
      </c>
      <c r="H51" s="309">
        <v>0.3029</v>
      </c>
      <c r="I51" s="309">
        <v>0.1202</v>
      </c>
      <c r="J51" s="309">
        <v>0.10539999999999999</v>
      </c>
      <c r="K51" s="309">
        <v>4.2799999999999998e-002</v>
      </c>
      <c r="L51" s="309">
        <v>0.31609999999999999</v>
      </c>
      <c r="M51" s="309">
        <v>0.16489999999999999</v>
      </c>
      <c r="N51" s="309">
        <v>8.0000000000000004e-004</v>
      </c>
      <c r="O51" s="309">
        <v>2.0000000000000001e-004</v>
      </c>
      <c r="P51" s="309">
        <v>6.7000000000000002e-003</v>
      </c>
      <c r="Q51" s="309">
        <v>3.7000000000000002e-003</v>
      </c>
      <c r="R51" s="298">
        <f t="shared" si="1182"/>
        <v>3971</v>
      </c>
      <c r="S51" s="298">
        <f t="shared" si="1183"/>
        <v>1827</v>
      </c>
      <c r="T51" s="298">
        <f t="shared" si="1184"/>
        <v>626</v>
      </c>
      <c r="U51" s="298">
        <f t="shared" si="1185"/>
        <v>1512</v>
      </c>
      <c r="V51" s="298">
        <f t="shared" si="1186"/>
        <v>6</v>
      </c>
      <c r="W51" s="298">
        <f t="shared" si="1187"/>
        <v>30</v>
      </c>
      <c r="X51" s="303">
        <f t="shared" si="1188"/>
        <v>4001</v>
      </c>
      <c r="Y51" s="303">
        <f t="shared" si="1189"/>
        <v>50694</v>
      </c>
      <c r="Z51" s="304" t="s">
        <v>1263</v>
      </c>
      <c r="AA51" s="305">
        <v>30887</v>
      </c>
      <c r="AB51" s="305">
        <v>12754</v>
      </c>
      <c r="AC51" s="305">
        <v>4068</v>
      </c>
      <c r="AD51" s="305">
        <v>14041</v>
      </c>
      <c r="AE51" s="305">
        <v>24</v>
      </c>
      <c r="AF51" s="298">
        <v>149</v>
      </c>
      <c r="AG51" s="303">
        <f t="shared" si="1190"/>
        <v>31036</v>
      </c>
    </row>
    <row r="52" s="202" customFormat="1" ht="15.75">
      <c r="A52" s="308">
        <v>41</v>
      </c>
      <c r="B52" s="306" t="s">
        <v>1224</v>
      </c>
      <c r="C52" s="306" t="s">
        <v>1264</v>
      </c>
      <c r="D52" s="306" t="s">
        <v>1270</v>
      </c>
      <c r="E52" s="309">
        <v>2.3858999999999999</v>
      </c>
      <c r="F52" s="309">
        <v>0.91439999999999999</v>
      </c>
      <c r="G52" s="309">
        <v>0.47749999999999998</v>
      </c>
      <c r="H52" s="309">
        <v>0.38169999999999998</v>
      </c>
      <c r="I52" s="309">
        <v>0.18740000000000001</v>
      </c>
      <c r="J52" s="309">
        <v>0.10249999999999999</v>
      </c>
      <c r="K52" s="309">
        <v>4.1300000000000003e-002</v>
      </c>
      <c r="L52" s="309">
        <v>0.43020000000000003</v>
      </c>
      <c r="M52" s="309">
        <v>0.24879999999999999</v>
      </c>
      <c r="N52" s="309">
        <v>0</v>
      </c>
      <c r="O52" s="309">
        <v>0</v>
      </c>
      <c r="P52" s="309">
        <v>4.4000000000000003e-003</v>
      </c>
      <c r="Q52" s="309">
        <v>3.2000000000000002e-003</v>
      </c>
      <c r="R52" s="298">
        <f t="shared" si="1182"/>
        <v>4369</v>
      </c>
      <c r="S52" s="298">
        <f t="shared" si="1183"/>
        <v>1943</v>
      </c>
      <c r="T52" s="298">
        <f t="shared" si="1184"/>
        <v>612</v>
      </c>
      <c r="U52" s="298">
        <f t="shared" si="1185"/>
        <v>1814</v>
      </c>
      <c r="V52" s="298">
        <f t="shared" si="1186"/>
        <v>0</v>
      </c>
      <c r="W52" s="298">
        <f t="shared" si="1187"/>
        <v>12</v>
      </c>
      <c r="X52" s="303">
        <f t="shared" si="1188"/>
        <v>4381</v>
      </c>
      <c r="Y52" s="303">
        <f t="shared" si="1189"/>
        <v>83626</v>
      </c>
      <c r="Z52" s="304" t="s">
        <v>1265</v>
      </c>
      <c r="AA52" s="305">
        <v>123812</v>
      </c>
      <c r="AB52" s="305">
        <v>44221</v>
      </c>
      <c r="AC52" s="305">
        <v>18589</v>
      </c>
      <c r="AD52" s="305">
        <v>60991</v>
      </c>
      <c r="AE52" s="305">
        <v>11</v>
      </c>
      <c r="AF52" s="298">
        <v>14</v>
      </c>
      <c r="AG52" s="303">
        <f t="shared" si="1190"/>
        <v>123826</v>
      </c>
    </row>
    <row r="53" s="202" customFormat="1" ht="15.75">
      <c r="A53" s="308">
        <v>42</v>
      </c>
      <c r="B53" s="306" t="s">
        <v>1224</v>
      </c>
      <c r="C53" s="306" t="s">
        <v>1264</v>
      </c>
      <c r="D53" s="306" t="s">
        <v>1271</v>
      </c>
      <c r="E53" s="309">
        <v>0.80520000000000003</v>
      </c>
      <c r="F53" s="309">
        <v>0.29139999999999999</v>
      </c>
      <c r="G53" s="309">
        <v>0.16969999999999999</v>
      </c>
      <c r="H53" s="309">
        <v>0.1573</v>
      </c>
      <c r="I53" s="309">
        <v>8.9800000000000005e-002</v>
      </c>
      <c r="J53" s="309">
        <v>2.3400000000000001e-002</v>
      </c>
      <c r="K53" s="309">
        <v>1.2800000000000001e-002</v>
      </c>
      <c r="L53" s="309">
        <v>0.1106</v>
      </c>
      <c r="M53" s="309">
        <v>6.7100000000000007e-002</v>
      </c>
      <c r="N53" s="309">
        <v>1.e-004</v>
      </c>
      <c r="O53" s="309">
        <v>0</v>
      </c>
      <c r="P53" s="309">
        <v>1.2999999999999999e-003</v>
      </c>
      <c r="Q53" s="309">
        <v>1.2999999999999999e-003</v>
      </c>
      <c r="R53" s="298">
        <f t="shared" si="1182"/>
        <v>1217</v>
      </c>
      <c r="S53" s="298">
        <f t="shared" si="1183"/>
        <v>675</v>
      </c>
      <c r="T53" s="298">
        <f t="shared" si="1184"/>
        <v>106</v>
      </c>
      <c r="U53" s="298">
        <f t="shared" si="1185"/>
        <v>435</v>
      </c>
      <c r="V53" s="298">
        <f t="shared" si="1186"/>
        <v>1</v>
      </c>
      <c r="W53" s="298">
        <f t="shared" si="1187"/>
        <v>0</v>
      </c>
      <c r="X53" s="303">
        <f t="shared" si="1188"/>
        <v>1217</v>
      </c>
      <c r="Y53" s="303">
        <f t="shared" si="1189"/>
        <v>21872</v>
      </c>
      <c r="Z53" s="304" t="s">
        <v>1266</v>
      </c>
      <c r="AA53" s="305">
        <v>69089</v>
      </c>
      <c r="AB53" s="305">
        <v>27120</v>
      </c>
      <c r="AC53" s="305">
        <v>20034</v>
      </c>
      <c r="AD53" s="305">
        <v>21926</v>
      </c>
      <c r="AE53" s="305">
        <v>9</v>
      </c>
      <c r="AF53" s="298">
        <v>66</v>
      </c>
      <c r="AG53" s="303">
        <f t="shared" si="1190"/>
        <v>69155</v>
      </c>
    </row>
    <row r="54" s="202" customFormat="1" ht="15.75">
      <c r="A54" s="308">
        <v>43</v>
      </c>
      <c r="B54" s="306" t="s">
        <v>1224</v>
      </c>
      <c r="C54" s="306" t="s">
        <v>1264</v>
      </c>
      <c r="D54" s="306" t="s">
        <v>1272</v>
      </c>
      <c r="E54" s="309">
        <v>6.9400000000000004</v>
      </c>
      <c r="F54" s="309">
        <v>2.5192999999999999</v>
      </c>
      <c r="G54" s="309">
        <v>1.5769</v>
      </c>
      <c r="H54" s="309">
        <v>1.3521000000000001</v>
      </c>
      <c r="I54" s="309">
        <v>0.76629999999999998</v>
      </c>
      <c r="J54" s="309">
        <v>0.1983</v>
      </c>
      <c r="K54" s="309">
        <v>0.1108</v>
      </c>
      <c r="L54" s="309">
        <v>0.96860000000000002</v>
      </c>
      <c r="M54" s="309">
        <v>0.69969999999999999</v>
      </c>
      <c r="N54" s="309">
        <v>1.e-004</v>
      </c>
      <c r="O54" s="309">
        <v>1.e-004</v>
      </c>
      <c r="P54" s="309">
        <v>0</v>
      </c>
      <c r="Q54" s="309">
        <v>0</v>
      </c>
      <c r="R54" s="298">
        <f t="shared" si="1182"/>
        <v>9424</v>
      </c>
      <c r="S54" s="298">
        <f t="shared" si="1183"/>
        <v>5858</v>
      </c>
      <c r="T54" s="298">
        <f t="shared" si="1184"/>
        <v>875</v>
      </c>
      <c r="U54" s="298">
        <f t="shared" si="1185"/>
        <v>2689</v>
      </c>
      <c r="V54" s="298">
        <f t="shared" si="1186"/>
        <v>0</v>
      </c>
      <c r="W54" s="298">
        <f t="shared" si="1187"/>
        <v>0</v>
      </c>
      <c r="X54" s="303">
        <f t="shared" si="1188"/>
        <v>9424</v>
      </c>
      <c r="Y54" s="303">
        <f t="shared" si="1189"/>
        <v>285261</v>
      </c>
      <c r="Z54" s="304" t="s">
        <v>1267</v>
      </c>
      <c r="AA54" s="305">
        <v>81546</v>
      </c>
      <c r="AB54" s="305">
        <v>17842</v>
      </c>
      <c r="AC54" s="305">
        <v>29872</v>
      </c>
      <c r="AD54" s="305">
        <v>33817</v>
      </c>
      <c r="AE54" s="305">
        <v>15</v>
      </c>
      <c r="AF54" s="298">
        <v>4</v>
      </c>
      <c r="AG54" s="303">
        <f t="shared" si="1190"/>
        <v>81550</v>
      </c>
    </row>
    <row r="55" s="202" customFormat="1" ht="15.75">
      <c r="A55" s="308">
        <v>44</v>
      </c>
      <c r="B55" s="306" t="s">
        <v>1224</v>
      </c>
      <c r="C55" s="306" t="s">
        <v>1264</v>
      </c>
      <c r="D55" s="306" t="s">
        <v>1273</v>
      </c>
      <c r="E55" s="309">
        <v>3.21</v>
      </c>
      <c r="F55" s="309">
        <v>1.3389</v>
      </c>
      <c r="G55" s="309">
        <v>0.57920000000000005</v>
      </c>
      <c r="H55" s="309">
        <v>0.62450000000000006</v>
      </c>
      <c r="I55" s="309">
        <v>0.24329999999999999</v>
      </c>
      <c r="J55" s="309">
        <v>0.1343</v>
      </c>
      <c r="K55" s="309">
        <v>5.0799999999999998e-002</v>
      </c>
      <c r="L55" s="309">
        <v>0.57989999999999997</v>
      </c>
      <c r="M55" s="309">
        <v>0.28499999999999998</v>
      </c>
      <c r="N55" s="309">
        <v>2.0000000000000001e-004</v>
      </c>
      <c r="O55" s="309">
        <v>1.e-004</v>
      </c>
      <c r="P55" s="309">
        <v>1.5e-003</v>
      </c>
      <c r="Q55" s="309">
        <v>6.9999999999999999e-004</v>
      </c>
      <c r="R55" s="298">
        <f t="shared" si="1182"/>
        <v>7597</v>
      </c>
      <c r="S55" s="298">
        <f t="shared" si="1183"/>
        <v>3812</v>
      </c>
      <c r="T55" s="298">
        <f t="shared" si="1184"/>
        <v>835</v>
      </c>
      <c r="U55" s="298">
        <f t="shared" si="1185"/>
        <v>2949</v>
      </c>
      <c r="V55" s="298">
        <f t="shared" si="1186"/>
        <v>1</v>
      </c>
      <c r="W55" s="298">
        <f t="shared" si="1187"/>
        <v>8</v>
      </c>
      <c r="X55" s="303">
        <f t="shared" si="1188"/>
        <v>7605</v>
      </c>
      <c r="Y55" s="303">
        <f t="shared" si="1189"/>
        <v>129815</v>
      </c>
      <c r="Z55" s="304" t="s">
        <v>1268</v>
      </c>
      <c r="AA55" s="305">
        <v>56332</v>
      </c>
      <c r="AB55" s="305">
        <v>31125</v>
      </c>
      <c r="AC55" s="305">
        <v>6293</v>
      </c>
      <c r="AD55" s="305">
        <v>18908</v>
      </c>
      <c r="AE55" s="305">
        <v>6</v>
      </c>
      <c r="AF55" s="298">
        <v>118</v>
      </c>
      <c r="AG55" s="303">
        <f t="shared" si="1190"/>
        <v>56450</v>
      </c>
    </row>
    <row r="56" s="202" customFormat="1" ht="15.75">
      <c r="A56" s="308">
        <v>45</v>
      </c>
      <c r="B56" s="306" t="s">
        <v>1224</v>
      </c>
      <c r="C56" s="306" t="s">
        <v>1264</v>
      </c>
      <c r="D56" s="306" t="s">
        <v>1274</v>
      </c>
      <c r="E56" s="309">
        <v>0.96050000000000002</v>
      </c>
      <c r="F56" s="309">
        <v>0.35199999999999998</v>
      </c>
      <c r="G56" s="309">
        <v>0.1187</v>
      </c>
      <c r="H56" s="309">
        <v>0.17510000000000001</v>
      </c>
      <c r="I56" s="309">
        <v>4.9399999999999999e-002</v>
      </c>
      <c r="J56" s="309">
        <v>1.9e-002</v>
      </c>
      <c r="K56" s="309">
        <v>5.8999999999999999e-003</v>
      </c>
      <c r="L56" s="309">
        <v>0.15770000000000001</v>
      </c>
      <c r="M56" s="309">
        <v>6.3399999999999998e-002</v>
      </c>
      <c r="N56" s="309">
        <v>2.0000000000000001e-004</v>
      </c>
      <c r="O56" s="309">
        <v>0</v>
      </c>
      <c r="P56" s="309">
        <v>4.7999999999999996e-003</v>
      </c>
      <c r="Q56" s="309">
        <v>1.6999999999999999e-003</v>
      </c>
      <c r="R56" s="298">
        <f t="shared" si="1182"/>
        <v>2333</v>
      </c>
      <c r="S56" s="298">
        <f t="shared" si="1183"/>
        <v>1257</v>
      </c>
      <c r="T56" s="298">
        <f t="shared" si="1184"/>
        <v>131</v>
      </c>
      <c r="U56" s="298">
        <f t="shared" si="1185"/>
        <v>943</v>
      </c>
      <c r="V56" s="298">
        <f t="shared" si="1186"/>
        <v>2</v>
      </c>
      <c r="W56" s="298">
        <f t="shared" si="1187"/>
        <v>31</v>
      </c>
      <c r="X56" s="303">
        <f t="shared" si="1188"/>
        <v>2364</v>
      </c>
      <c r="Y56" s="303">
        <f t="shared" si="1189"/>
        <v>37263</v>
      </c>
      <c r="Z56" s="304" t="s">
        <v>1269</v>
      </c>
      <c r="AA56" s="305">
        <v>50369</v>
      </c>
      <c r="AB56" s="305">
        <v>25223</v>
      </c>
      <c r="AC56" s="305">
        <v>7723</v>
      </c>
      <c r="AD56" s="305">
        <v>17396</v>
      </c>
      <c r="AE56" s="305">
        <v>27</v>
      </c>
      <c r="AF56" s="298">
        <v>325</v>
      </c>
      <c r="AG56" s="303">
        <f t="shared" si="1190"/>
        <v>50694</v>
      </c>
    </row>
    <row r="57" s="202" customFormat="1" ht="15.75">
      <c r="A57" s="308">
        <v>46</v>
      </c>
      <c r="B57" s="306" t="s">
        <v>1224</v>
      </c>
      <c r="C57" s="306" t="s">
        <v>1264</v>
      </c>
      <c r="D57" s="306" t="s">
        <v>1275</v>
      </c>
      <c r="E57" s="309">
        <v>3.9199999999999999e-002</v>
      </c>
      <c r="F57" s="309">
        <v>1.38e-002</v>
      </c>
      <c r="G57" s="309">
        <v>1.06e-002</v>
      </c>
      <c r="H57" s="309">
        <v>5.4999999999999997e-003</v>
      </c>
      <c r="I57" s="309">
        <v>4.4999999999999997e-003</v>
      </c>
      <c r="J57" s="309">
        <v>2.9999999999999997e-004</v>
      </c>
      <c r="K57" s="309">
        <v>2.0000000000000001e-004</v>
      </c>
      <c r="L57" s="309">
        <v>8.0000000000000002e-003</v>
      </c>
      <c r="M57" s="309">
        <v>5.8999999999999999e-003</v>
      </c>
      <c r="N57" s="309">
        <v>0</v>
      </c>
      <c r="O57" s="309">
        <v>0</v>
      </c>
      <c r="P57" s="309">
        <v>0</v>
      </c>
      <c r="Q57" s="309">
        <v>0</v>
      </c>
      <c r="R57" s="298">
        <f t="shared" si="1182"/>
        <v>32</v>
      </c>
      <c r="S57" s="298">
        <f t="shared" si="1183"/>
        <v>10</v>
      </c>
      <c r="T57" s="298">
        <f t="shared" si="1184"/>
        <v>1</v>
      </c>
      <c r="U57" s="298">
        <f t="shared" si="1185"/>
        <v>21</v>
      </c>
      <c r="V57" s="298">
        <f t="shared" si="1186"/>
        <v>0</v>
      </c>
      <c r="W57" s="298">
        <f t="shared" si="1187"/>
        <v>0</v>
      </c>
      <c r="X57" s="303">
        <f t="shared" si="1188"/>
        <v>32</v>
      </c>
      <c r="Y57" s="303">
        <f t="shared" si="1189"/>
        <v>6834</v>
      </c>
      <c r="Z57" s="304" t="s">
        <v>1270</v>
      </c>
      <c r="AA57" s="305">
        <v>83424</v>
      </c>
      <c r="AB57" s="305">
        <v>41553</v>
      </c>
      <c r="AC57" s="305">
        <v>10980</v>
      </c>
      <c r="AD57" s="305">
        <v>30882</v>
      </c>
      <c r="AE57" s="305">
        <v>9</v>
      </c>
      <c r="AF57" s="298">
        <v>202</v>
      </c>
      <c r="AG57" s="303">
        <f t="shared" si="1190"/>
        <v>83626</v>
      </c>
    </row>
    <row r="58" s="202" customFormat="1" ht="15.75">
      <c r="A58" s="308">
        <v>47</v>
      </c>
      <c r="B58" s="306" t="s">
        <v>1224</v>
      </c>
      <c r="C58" s="306" t="s">
        <v>1276</v>
      </c>
      <c r="D58" s="306" t="s">
        <v>1277</v>
      </c>
      <c r="E58" s="309">
        <v>4.6100000000000002e-002</v>
      </c>
      <c r="F58" s="309">
        <v>1.5599999999999999e-002</v>
      </c>
      <c r="G58" s="309">
        <v>2.e-003</v>
      </c>
      <c r="H58" s="309">
        <v>4.0000000000000002e-004</v>
      </c>
      <c r="I58" s="309">
        <v>0</v>
      </c>
      <c r="J58" s="309">
        <v>5.9999999999999995e-004</v>
      </c>
      <c r="K58" s="309">
        <v>0</v>
      </c>
      <c r="L58" s="309">
        <v>1.46e-002</v>
      </c>
      <c r="M58" s="309">
        <v>2.e-003</v>
      </c>
      <c r="N58" s="309">
        <v>0</v>
      </c>
      <c r="O58" s="309">
        <v>0</v>
      </c>
      <c r="P58" s="309">
        <v>5.9999999999999995e-004</v>
      </c>
      <c r="Q58" s="309">
        <v>0</v>
      </c>
      <c r="R58" s="298">
        <f t="shared" si="1182"/>
        <v>136</v>
      </c>
      <c r="S58" s="298">
        <f t="shared" si="1183"/>
        <v>4</v>
      </c>
      <c r="T58" s="298">
        <f t="shared" si="1184"/>
        <v>6</v>
      </c>
      <c r="U58" s="298">
        <f t="shared" si="1185"/>
        <v>126</v>
      </c>
      <c r="V58" s="298">
        <f t="shared" si="1186"/>
        <v>0</v>
      </c>
      <c r="W58" s="298">
        <f t="shared" si="1187"/>
        <v>6</v>
      </c>
      <c r="X58" s="303">
        <f t="shared" si="1188"/>
        <v>142</v>
      </c>
      <c r="Y58" s="303">
        <f t="shared" si="1189"/>
        <v>1157</v>
      </c>
      <c r="Z58" s="304" t="s">
        <v>1271</v>
      </c>
      <c r="AA58" s="305">
        <v>21827</v>
      </c>
      <c r="AB58" s="305">
        <v>13262</v>
      </c>
      <c r="AC58" s="305">
        <v>1935</v>
      </c>
      <c r="AD58" s="305">
        <v>6621</v>
      </c>
      <c r="AE58" s="305">
        <v>9</v>
      </c>
      <c r="AF58" s="298">
        <v>45</v>
      </c>
      <c r="AG58" s="303">
        <f t="shared" si="1190"/>
        <v>21872</v>
      </c>
    </row>
    <row r="59" s="202" customFormat="1" ht="15.75">
      <c r="A59" s="308">
        <v>48</v>
      </c>
      <c r="B59" s="306" t="s">
        <v>1224</v>
      </c>
      <c r="C59" s="306" t="s">
        <v>1276</v>
      </c>
      <c r="D59" s="306" t="s">
        <v>1278</v>
      </c>
      <c r="E59" s="309">
        <v>0.27229999999999999</v>
      </c>
      <c r="F59" s="309">
        <v>7.0599999999999996e-002</v>
      </c>
      <c r="G59" s="309">
        <v>1.49e-002</v>
      </c>
      <c r="H59" s="309">
        <v>8.6e-003</v>
      </c>
      <c r="I59" s="309">
        <v>1.e-003</v>
      </c>
      <c r="J59" s="309">
        <v>1.32e-002</v>
      </c>
      <c r="K59" s="309">
        <v>1.9e-003</v>
      </c>
      <c r="L59" s="309">
        <v>4.8800000000000003e-002</v>
      </c>
      <c r="M59" s="309">
        <v>1.2e-002</v>
      </c>
      <c r="N59" s="309">
        <v>0</v>
      </c>
      <c r="O59" s="309">
        <v>0</v>
      </c>
      <c r="P59" s="309">
        <v>3.7000000000000002e-003</v>
      </c>
      <c r="Q59" s="309">
        <v>1.4e-003</v>
      </c>
      <c r="R59" s="298">
        <f t="shared" si="1182"/>
        <v>557</v>
      </c>
      <c r="S59" s="298">
        <f t="shared" si="1183"/>
        <v>76</v>
      </c>
      <c r="T59" s="298">
        <f t="shared" si="1184"/>
        <v>113</v>
      </c>
      <c r="U59" s="298">
        <f t="shared" si="1185"/>
        <v>368</v>
      </c>
      <c r="V59" s="298">
        <f t="shared" si="1186"/>
        <v>0</v>
      </c>
      <c r="W59" s="298">
        <f t="shared" si="1187"/>
        <v>23</v>
      </c>
      <c r="X59" s="303">
        <f t="shared" si="1188"/>
        <v>580</v>
      </c>
      <c r="Y59" s="303">
        <f t="shared" si="1189"/>
        <v>7296</v>
      </c>
      <c r="Z59" s="304" t="s">
        <v>1272</v>
      </c>
      <c r="AA59" s="305">
        <v>285258</v>
      </c>
      <c r="AB59" s="305">
        <v>168700</v>
      </c>
      <c r="AC59" s="305">
        <v>25293</v>
      </c>
      <c r="AD59" s="305">
        <v>91232</v>
      </c>
      <c r="AE59" s="305">
        <v>31</v>
      </c>
      <c r="AF59" s="298">
        <v>3</v>
      </c>
      <c r="AG59" s="303">
        <f t="shared" si="1190"/>
        <v>285261</v>
      </c>
    </row>
    <row r="60" s="202" customFormat="1" ht="15.75">
      <c r="A60" s="308">
        <v>49</v>
      </c>
      <c r="B60" s="306" t="s">
        <v>1224</v>
      </c>
      <c r="C60" s="306" t="s">
        <v>1276</v>
      </c>
      <c r="D60" s="306" t="s">
        <v>1279</v>
      </c>
      <c r="E60" s="309">
        <v>1.0651999999999999</v>
      </c>
      <c r="F60" s="309">
        <v>0.36130000000000001</v>
      </c>
      <c r="G60" s="309">
        <v>0.23680000000000001</v>
      </c>
      <c r="H60" s="309">
        <v>3.78e-002</v>
      </c>
      <c r="I60" s="309">
        <v>2.4199999999999999e-002</v>
      </c>
      <c r="J60" s="309">
        <v>5.8299999999999998e-002</v>
      </c>
      <c r="K60" s="309">
        <v>3.4299999999999997e-002</v>
      </c>
      <c r="L60" s="309">
        <v>0.2651</v>
      </c>
      <c r="M60" s="309">
        <v>0.1782</v>
      </c>
      <c r="N60" s="309">
        <v>1.e-004</v>
      </c>
      <c r="O60" s="309">
        <v>1.e-004</v>
      </c>
      <c r="P60" s="309">
        <v>6.4000000000000003e-003</v>
      </c>
      <c r="Q60" s="309">
        <v>4.8999999999999998e-003</v>
      </c>
      <c r="R60" s="298">
        <f t="shared" si="1182"/>
        <v>1245</v>
      </c>
      <c r="S60" s="298">
        <f t="shared" si="1183"/>
        <v>136</v>
      </c>
      <c r="T60" s="298">
        <f t="shared" si="1184"/>
        <v>240</v>
      </c>
      <c r="U60" s="298">
        <f t="shared" si="1185"/>
        <v>869</v>
      </c>
      <c r="V60" s="298">
        <f t="shared" si="1186"/>
        <v>0</v>
      </c>
      <c r="W60" s="298">
        <f t="shared" si="1187"/>
        <v>15</v>
      </c>
      <c r="X60" s="303">
        <f t="shared" si="1188"/>
        <v>1260</v>
      </c>
      <c r="Y60" s="303">
        <f t="shared" si="1189"/>
        <v>25885</v>
      </c>
      <c r="Z60" s="304" t="s">
        <v>1273</v>
      </c>
      <c r="AA60" s="305">
        <v>129723</v>
      </c>
      <c r="AB60" s="305">
        <v>65095</v>
      </c>
      <c r="AC60" s="305">
        <v>14490</v>
      </c>
      <c r="AD60" s="305">
        <v>50121</v>
      </c>
      <c r="AE60" s="305">
        <v>17</v>
      </c>
      <c r="AF60" s="298">
        <v>92</v>
      </c>
      <c r="AG60" s="303">
        <f t="shared" si="1190"/>
        <v>129815</v>
      </c>
    </row>
    <row r="61" s="202" customFormat="1" ht="15.75">
      <c r="A61" s="308">
        <v>50</v>
      </c>
      <c r="B61" s="306" t="s">
        <v>1224</v>
      </c>
      <c r="C61" s="306" t="s">
        <v>1276</v>
      </c>
      <c r="D61" s="306" t="s">
        <v>1280</v>
      </c>
      <c r="E61" s="309">
        <v>0.44159999999999999</v>
      </c>
      <c r="F61" s="309">
        <v>9.6500000000000002e-002</v>
      </c>
      <c r="G61" s="309">
        <v>4.9299999999999997e-002</v>
      </c>
      <c r="H61" s="309">
        <v>9.2999999999999992e-003</v>
      </c>
      <c r="I61" s="309">
        <v>4.4999999999999997e-003</v>
      </c>
      <c r="J61" s="309">
        <v>4.8999999999999998e-003</v>
      </c>
      <c r="K61" s="309">
        <v>1.8e-003</v>
      </c>
      <c r="L61" s="309">
        <v>8.2299999999999998e-002</v>
      </c>
      <c r="M61" s="309">
        <v>4.2999999999999997e-002</v>
      </c>
      <c r="N61" s="309">
        <v>0</v>
      </c>
      <c r="O61" s="309">
        <v>0</v>
      </c>
      <c r="P61" s="309">
        <v>2.8e-003</v>
      </c>
      <c r="Q61" s="309">
        <v>1.6000000000000001e-003</v>
      </c>
      <c r="R61" s="298">
        <f t="shared" si="1182"/>
        <v>472</v>
      </c>
      <c r="S61" s="298">
        <f t="shared" si="1183"/>
        <v>48</v>
      </c>
      <c r="T61" s="298">
        <f t="shared" si="1184"/>
        <v>31</v>
      </c>
      <c r="U61" s="298">
        <f t="shared" si="1185"/>
        <v>393</v>
      </c>
      <c r="V61" s="298">
        <f t="shared" si="1186"/>
        <v>0</v>
      </c>
      <c r="W61" s="298">
        <f t="shared" si="1187"/>
        <v>12</v>
      </c>
      <c r="X61" s="303">
        <f t="shared" si="1188"/>
        <v>484</v>
      </c>
      <c r="Y61" s="303">
        <f t="shared" si="1189"/>
        <v>6892</v>
      </c>
      <c r="Z61" s="304" t="s">
        <v>1274</v>
      </c>
      <c r="AA61" s="305">
        <v>37047</v>
      </c>
      <c r="AB61" s="305">
        <v>23550</v>
      </c>
      <c r="AC61" s="305">
        <v>2461</v>
      </c>
      <c r="AD61" s="305">
        <v>11017</v>
      </c>
      <c r="AE61" s="305">
        <v>19</v>
      </c>
      <c r="AF61" s="298">
        <v>216</v>
      </c>
      <c r="AG61" s="303">
        <f t="shared" si="1190"/>
        <v>37263</v>
      </c>
    </row>
    <row r="62" s="202" customFormat="1" ht="15.75">
      <c r="A62" s="308">
        <v>51</v>
      </c>
      <c r="B62" s="306" t="s">
        <v>1224</v>
      </c>
      <c r="C62" s="306" t="s">
        <v>1276</v>
      </c>
      <c r="D62" s="306" t="s">
        <v>1281</v>
      </c>
      <c r="E62" s="309">
        <v>1.1324000000000001</v>
      </c>
      <c r="F62" s="309">
        <v>0.37769999999999998</v>
      </c>
      <c r="G62" s="309">
        <v>0.1308</v>
      </c>
      <c r="H62" s="309">
        <v>0.1115</v>
      </c>
      <c r="I62" s="309">
        <v>2.9499999999999998e-002</v>
      </c>
      <c r="J62" s="309">
        <v>4.9799999999999997e-002</v>
      </c>
      <c r="K62" s="309">
        <v>1.24e-002</v>
      </c>
      <c r="L62" s="309">
        <v>0.21629999999999999</v>
      </c>
      <c r="M62" s="309">
        <v>8.8900000000000007e-002</v>
      </c>
      <c r="N62" s="309">
        <v>1.e-004</v>
      </c>
      <c r="O62" s="309">
        <v>0</v>
      </c>
      <c r="P62" s="309">
        <v>4.8999999999999998e-003</v>
      </c>
      <c r="Q62" s="309">
        <v>2.3999999999999998e-003</v>
      </c>
      <c r="R62" s="298">
        <f t="shared" si="1182"/>
        <v>2469</v>
      </c>
      <c r="S62" s="298">
        <f t="shared" si="1183"/>
        <v>820</v>
      </c>
      <c r="T62" s="298">
        <f t="shared" si="1184"/>
        <v>374</v>
      </c>
      <c r="U62" s="298">
        <f t="shared" si="1185"/>
        <v>1274</v>
      </c>
      <c r="V62" s="298">
        <f t="shared" si="1186"/>
        <v>1</v>
      </c>
      <c r="W62" s="298">
        <f t="shared" si="1187"/>
        <v>25</v>
      </c>
      <c r="X62" s="303">
        <f t="shared" si="1188"/>
        <v>2494</v>
      </c>
      <c r="Y62" s="303">
        <f t="shared" si="1189"/>
        <v>39617</v>
      </c>
      <c r="Z62" s="304" t="s">
        <v>1275</v>
      </c>
      <c r="AA62" s="305">
        <v>6833</v>
      </c>
      <c r="AB62" s="305">
        <v>3572</v>
      </c>
      <c r="AC62" s="305">
        <v>465</v>
      </c>
      <c r="AD62" s="305">
        <v>2793</v>
      </c>
      <c r="AE62" s="305">
        <v>3</v>
      </c>
      <c r="AF62" s="298">
        <v>1</v>
      </c>
      <c r="AG62" s="303">
        <f t="shared" si="1190"/>
        <v>6834</v>
      </c>
    </row>
    <row r="63" s="202" customFormat="1" ht="15.75">
      <c r="A63" s="308">
        <v>52</v>
      </c>
      <c r="B63" s="306" t="s">
        <v>1224</v>
      </c>
      <c r="C63" s="306" t="s">
        <v>1282</v>
      </c>
      <c r="D63" s="306" t="s">
        <v>1283</v>
      </c>
      <c r="E63" s="309">
        <v>0.1047</v>
      </c>
      <c r="F63" s="309">
        <v>2.64e-002</v>
      </c>
      <c r="G63" s="309">
        <v>1.18e-002</v>
      </c>
      <c r="H63" s="309">
        <v>2.0999999999999999e-003</v>
      </c>
      <c r="I63" s="309">
        <v>1.1999999999999999e-003</v>
      </c>
      <c r="J63" s="309">
        <v>2.3999999999999998e-003</v>
      </c>
      <c r="K63" s="309">
        <v>8.9999999999999998e-004</v>
      </c>
      <c r="L63" s="309">
        <v>2.1899999999999999e-002</v>
      </c>
      <c r="M63" s="309">
        <v>9.7000000000000003e-003</v>
      </c>
      <c r="N63" s="309">
        <v>0</v>
      </c>
      <c r="O63" s="309">
        <v>0</v>
      </c>
      <c r="P63" s="309">
        <v>0</v>
      </c>
      <c r="Q63" s="309">
        <v>0</v>
      </c>
      <c r="R63" s="298">
        <f t="shared" si="1182"/>
        <v>146</v>
      </c>
      <c r="S63" s="298">
        <f t="shared" si="1183"/>
        <v>9</v>
      </c>
      <c r="T63" s="298">
        <f t="shared" si="1184"/>
        <v>15</v>
      </c>
      <c r="U63" s="298">
        <f t="shared" si="1185"/>
        <v>122</v>
      </c>
      <c r="V63" s="298">
        <f t="shared" si="1186"/>
        <v>0</v>
      </c>
      <c r="W63" s="298">
        <f t="shared" si="1187"/>
        <v>0</v>
      </c>
      <c r="X63" s="303">
        <f t="shared" si="1188"/>
        <v>146</v>
      </c>
      <c r="Y63" s="303">
        <f t="shared" si="1189"/>
        <v>8242</v>
      </c>
      <c r="Z63" s="304" t="s">
        <v>1277</v>
      </c>
      <c r="AA63" s="305">
        <v>1143</v>
      </c>
      <c r="AB63" s="305">
        <v>68</v>
      </c>
      <c r="AC63" s="305">
        <v>106</v>
      </c>
      <c r="AD63" s="305">
        <v>968</v>
      </c>
      <c r="AE63" s="305">
        <v>1</v>
      </c>
      <c r="AF63" s="298">
        <v>14</v>
      </c>
      <c r="AG63" s="303">
        <f t="shared" si="1190"/>
        <v>1157</v>
      </c>
    </row>
    <row r="64" s="202" customFormat="1" ht="15.75">
      <c r="A64" s="308">
        <v>53</v>
      </c>
      <c r="B64" s="306" t="s">
        <v>1224</v>
      </c>
      <c r="C64" s="306" t="s">
        <v>1282</v>
      </c>
      <c r="D64" s="306" t="s">
        <v>1284</v>
      </c>
      <c r="E64" s="309">
        <v>0.44</v>
      </c>
      <c r="F64" s="309">
        <v>0.1532</v>
      </c>
      <c r="G64" s="309">
        <v>5.6599999999999998e-002</v>
      </c>
      <c r="H64" s="309">
        <v>3.8e-003</v>
      </c>
      <c r="I64" s="309">
        <v>1.1000000000000001e-003</v>
      </c>
      <c r="J64" s="309">
        <v>1.9400000000000001e-002</v>
      </c>
      <c r="K64" s="309">
        <v>5.4000000000000003e-003</v>
      </c>
      <c r="L64" s="309">
        <v>0.12989999999999999</v>
      </c>
      <c r="M64" s="309">
        <v>5.0099999999999999e-002</v>
      </c>
      <c r="N64" s="309">
        <v>1.e-004</v>
      </c>
      <c r="O64" s="309">
        <v>0</v>
      </c>
      <c r="P64" s="309">
        <v>0</v>
      </c>
      <c r="Q64" s="309">
        <v>0</v>
      </c>
      <c r="R64" s="298">
        <f t="shared" si="1182"/>
        <v>966</v>
      </c>
      <c r="S64" s="298">
        <f t="shared" si="1183"/>
        <v>27</v>
      </c>
      <c r="T64" s="298">
        <f t="shared" si="1184"/>
        <v>140</v>
      </c>
      <c r="U64" s="298">
        <f t="shared" si="1185"/>
        <v>798</v>
      </c>
      <c r="V64" s="298">
        <f t="shared" si="1186"/>
        <v>1</v>
      </c>
      <c r="W64" s="298">
        <f t="shared" si="1187"/>
        <v>0</v>
      </c>
      <c r="X64" s="303">
        <f t="shared" si="1188"/>
        <v>966</v>
      </c>
      <c r="Y64" s="303">
        <f t="shared" si="1189"/>
        <v>6935</v>
      </c>
      <c r="Z64" s="304" t="s">
        <v>1278</v>
      </c>
      <c r="AA64" s="305">
        <v>6983</v>
      </c>
      <c r="AB64" s="305">
        <v>783</v>
      </c>
      <c r="AC64" s="305">
        <v>1899</v>
      </c>
      <c r="AD64" s="305">
        <v>4298</v>
      </c>
      <c r="AE64" s="305">
        <v>3</v>
      </c>
      <c r="AF64" s="298">
        <v>313</v>
      </c>
      <c r="AG64" s="303">
        <f t="shared" si="1190"/>
        <v>7296</v>
      </c>
    </row>
    <row r="65" s="202" customFormat="1" ht="15.75">
      <c r="A65" s="308">
        <v>54</v>
      </c>
      <c r="B65" s="306" t="s">
        <v>1224</v>
      </c>
      <c r="C65" s="306" t="s">
        <v>1282</v>
      </c>
      <c r="D65" s="306" t="s">
        <v>1285</v>
      </c>
      <c r="E65" s="309">
        <v>1.1636</v>
      </c>
      <c r="F65" s="309">
        <v>0.41239999999999999</v>
      </c>
      <c r="G65" s="309">
        <v>0.15060000000000001</v>
      </c>
      <c r="H65" s="309">
        <v>5.2900000000000003e-002</v>
      </c>
      <c r="I65" s="309">
        <v>1.4800000000000001e-002</v>
      </c>
      <c r="J65" s="309">
        <v>0.11990000000000001</v>
      </c>
      <c r="K65" s="309">
        <v>3.8699999999999998e-002</v>
      </c>
      <c r="L65" s="309">
        <v>0.23930000000000001</v>
      </c>
      <c r="M65" s="309">
        <v>9.7000000000000003e-002</v>
      </c>
      <c r="N65" s="309">
        <v>2.9999999999999997e-004</v>
      </c>
      <c r="O65" s="309">
        <v>1.e-004</v>
      </c>
      <c r="P65" s="309">
        <v>1.2999999999999999e-003</v>
      </c>
      <c r="Q65" s="309">
        <v>5.9999999999999995e-004</v>
      </c>
      <c r="R65" s="298">
        <f t="shared" si="1182"/>
        <v>2618</v>
      </c>
      <c r="S65" s="298">
        <f t="shared" si="1183"/>
        <v>381</v>
      </c>
      <c r="T65" s="298">
        <f t="shared" si="1184"/>
        <v>812</v>
      </c>
      <c r="U65" s="298">
        <f t="shared" si="1185"/>
        <v>1423</v>
      </c>
      <c r="V65" s="298">
        <f t="shared" si="1186"/>
        <v>2</v>
      </c>
      <c r="W65" s="298">
        <f t="shared" si="1187"/>
        <v>7</v>
      </c>
      <c r="X65" s="303">
        <f t="shared" si="1188"/>
        <v>2625</v>
      </c>
      <c r="Y65" s="303">
        <f t="shared" si="1189"/>
        <v>40899</v>
      </c>
      <c r="Z65" s="304" t="s">
        <v>1279</v>
      </c>
      <c r="AA65" s="305">
        <v>25533</v>
      </c>
      <c r="AB65" s="305">
        <v>3630</v>
      </c>
      <c r="AC65" s="305">
        <v>4747</v>
      </c>
      <c r="AD65" s="305">
        <v>17146</v>
      </c>
      <c r="AE65" s="305">
        <v>10</v>
      </c>
      <c r="AF65" s="298">
        <v>352</v>
      </c>
      <c r="AG65" s="303">
        <f t="shared" si="1190"/>
        <v>25885</v>
      </c>
    </row>
    <row r="66" s="202" customFormat="1" ht="15.75">
      <c r="A66" s="308">
        <v>55</v>
      </c>
      <c r="B66" s="306" t="s">
        <v>1224</v>
      </c>
      <c r="C66" s="306" t="s">
        <v>1282</v>
      </c>
      <c r="D66" s="306" t="s">
        <v>1286</v>
      </c>
      <c r="E66" s="309">
        <v>0.95189999999999997</v>
      </c>
      <c r="F66" s="309">
        <v>0.32840000000000003</v>
      </c>
      <c r="G66" s="309">
        <v>0.1241</v>
      </c>
      <c r="H66" s="309">
        <v>2.8500000000000001e-002</v>
      </c>
      <c r="I66" s="309">
        <v>7.4999999999999997e-003</v>
      </c>
      <c r="J66" s="309">
        <v>5.8599999999999999e-002</v>
      </c>
      <c r="K66" s="309">
        <v>1.83e-002</v>
      </c>
      <c r="L66" s="309">
        <v>0.24110000000000001</v>
      </c>
      <c r="M66" s="309">
        <v>9.8199999999999996e-002</v>
      </c>
      <c r="N66" s="309">
        <v>2.0000000000000001e-004</v>
      </c>
      <c r="O66" s="309">
        <v>1.e-004</v>
      </c>
      <c r="P66" s="309">
        <v>0</v>
      </c>
      <c r="Q66" s="309">
        <v>0</v>
      </c>
      <c r="R66" s="298">
        <f t="shared" si="1182"/>
        <v>2043</v>
      </c>
      <c r="S66" s="298">
        <f t="shared" si="1183"/>
        <v>210</v>
      </c>
      <c r="T66" s="298">
        <f t="shared" si="1184"/>
        <v>403</v>
      </c>
      <c r="U66" s="298">
        <f t="shared" si="1185"/>
        <v>1429</v>
      </c>
      <c r="V66" s="298">
        <f t="shared" si="1186"/>
        <v>1</v>
      </c>
      <c r="W66" s="298">
        <f t="shared" si="1187"/>
        <v>0</v>
      </c>
      <c r="X66" s="303">
        <f t="shared" si="1188"/>
        <v>2043</v>
      </c>
      <c r="Y66" s="303">
        <f t="shared" si="1189"/>
        <v>27522</v>
      </c>
      <c r="Z66" s="304" t="s">
        <v>1280</v>
      </c>
      <c r="AA66" s="305">
        <v>6826</v>
      </c>
      <c r="AB66" s="305">
        <v>695</v>
      </c>
      <c r="AC66" s="305">
        <v>553</v>
      </c>
      <c r="AD66" s="305">
        <v>5578</v>
      </c>
      <c r="AE66" s="305">
        <v>0</v>
      </c>
      <c r="AF66" s="298">
        <v>66</v>
      </c>
      <c r="AG66" s="303">
        <f t="shared" si="1190"/>
        <v>6892</v>
      </c>
    </row>
    <row r="67" s="202" customFormat="1" ht="15.75">
      <c r="A67" s="308">
        <v>56</v>
      </c>
      <c r="B67" s="306" t="s">
        <v>1224</v>
      </c>
      <c r="C67" s="306" t="s">
        <v>1282</v>
      </c>
      <c r="D67" s="306" t="s">
        <v>1287</v>
      </c>
      <c r="E67" s="309">
        <v>0.89129999999999998</v>
      </c>
      <c r="F67" s="309">
        <v>0.28139999999999998</v>
      </c>
      <c r="G67" s="309">
        <v>0.1452</v>
      </c>
      <c r="H67" s="309">
        <v>7.7999999999999996e-003</v>
      </c>
      <c r="I67" s="309">
        <v>3.5000000000000001e-003</v>
      </c>
      <c r="J67" s="309">
        <v>3.9399999999999998e-002</v>
      </c>
      <c r="K67" s="309">
        <v>1.77e-002</v>
      </c>
      <c r="L67" s="309">
        <v>0.2341</v>
      </c>
      <c r="M67" s="309">
        <v>0.124</v>
      </c>
      <c r="N67" s="309">
        <v>1.e-004</v>
      </c>
      <c r="O67" s="309">
        <v>0</v>
      </c>
      <c r="P67" s="309">
        <v>0</v>
      </c>
      <c r="Q67" s="309">
        <v>0</v>
      </c>
      <c r="R67" s="298">
        <f t="shared" si="1182"/>
        <v>1362</v>
      </c>
      <c r="S67" s="298">
        <f t="shared" si="1183"/>
        <v>43</v>
      </c>
      <c r="T67" s="298">
        <f t="shared" si="1184"/>
        <v>217</v>
      </c>
      <c r="U67" s="298">
        <f t="shared" si="1185"/>
        <v>1101</v>
      </c>
      <c r="V67" s="298">
        <f t="shared" si="1186"/>
        <v>1</v>
      </c>
      <c r="W67" s="298">
        <f t="shared" si="1187"/>
        <v>0</v>
      </c>
      <c r="X67" s="303">
        <f t="shared" si="1188"/>
        <v>1362</v>
      </c>
      <c r="Y67" s="303">
        <f t="shared" si="1189"/>
        <v>19675</v>
      </c>
      <c r="Z67" s="304" t="s">
        <v>1281</v>
      </c>
      <c r="AA67" s="305">
        <v>39308</v>
      </c>
      <c r="AB67" s="305">
        <v>12867</v>
      </c>
      <c r="AC67" s="305">
        <v>5065</v>
      </c>
      <c r="AD67" s="305">
        <v>21374</v>
      </c>
      <c r="AE67" s="305">
        <v>2</v>
      </c>
      <c r="AF67" s="298">
        <v>309</v>
      </c>
      <c r="AG67" s="303">
        <f t="shared" si="1190"/>
        <v>39617</v>
      </c>
    </row>
    <row r="68" s="202" customFormat="1" ht="15.75">
      <c r="A68" s="308">
        <v>57</v>
      </c>
      <c r="B68" s="306" t="s">
        <v>1224</v>
      </c>
      <c r="C68" s="306" t="s">
        <v>1282</v>
      </c>
      <c r="D68" s="306" t="s">
        <v>1288</v>
      </c>
      <c r="E68" s="309">
        <v>0.46689999999999998</v>
      </c>
      <c r="F68" s="309">
        <v>0.10150000000000001</v>
      </c>
      <c r="G68" s="309">
        <v>4.1099999999999998e-002</v>
      </c>
      <c r="H68" s="309">
        <v>4.1000000000000003e-003</v>
      </c>
      <c r="I68" s="309">
        <v>8.9999999999999998e-004</v>
      </c>
      <c r="J68" s="309">
        <v>1.6500000000000001e-002</v>
      </c>
      <c r="K68" s="309">
        <v>5.1000000000000004e-003</v>
      </c>
      <c r="L68" s="309">
        <v>8.09e-002</v>
      </c>
      <c r="M68" s="309">
        <v>3.5099999999999999e-002</v>
      </c>
      <c r="N68" s="309">
        <v>0</v>
      </c>
      <c r="O68" s="309">
        <v>0</v>
      </c>
      <c r="P68" s="309">
        <v>1.9e-003</v>
      </c>
      <c r="Q68" s="309">
        <v>1.9e-003</v>
      </c>
      <c r="R68" s="298">
        <f t="shared" si="1182"/>
        <v>604</v>
      </c>
      <c r="S68" s="298">
        <f t="shared" si="1183"/>
        <v>32</v>
      </c>
      <c r="T68" s="298">
        <f t="shared" si="1184"/>
        <v>114</v>
      </c>
      <c r="U68" s="298">
        <f t="shared" si="1185"/>
        <v>458</v>
      </c>
      <c r="V68" s="298">
        <f t="shared" si="1186"/>
        <v>0</v>
      </c>
      <c r="W68" s="298">
        <f t="shared" si="1187"/>
        <v>0</v>
      </c>
      <c r="X68" s="303">
        <f t="shared" si="1188"/>
        <v>604</v>
      </c>
      <c r="Y68" s="303">
        <f t="shared" si="1189"/>
        <v>11576</v>
      </c>
      <c r="Z68" s="304" t="s">
        <v>1283</v>
      </c>
      <c r="AA68" s="305">
        <v>8242</v>
      </c>
      <c r="AB68" s="305">
        <v>1208</v>
      </c>
      <c r="AC68" s="305">
        <v>724</v>
      </c>
      <c r="AD68" s="305">
        <v>6307</v>
      </c>
      <c r="AE68" s="305">
        <v>3</v>
      </c>
      <c r="AF68" s="298">
        <v>0</v>
      </c>
      <c r="AG68" s="303">
        <f t="shared" si="1190"/>
        <v>8242</v>
      </c>
    </row>
    <row r="69" s="202" customFormat="1" ht="15.75">
      <c r="A69" s="308">
        <v>58</v>
      </c>
      <c r="B69" s="306" t="s">
        <v>1224</v>
      </c>
      <c r="C69" s="306" t="s">
        <v>1282</v>
      </c>
      <c r="D69" s="306" t="s">
        <v>1289</v>
      </c>
      <c r="E69" s="309">
        <v>0.32669999999999999</v>
      </c>
      <c r="F69" s="309">
        <v>0.1157</v>
      </c>
      <c r="G69" s="309">
        <v>6.6900000000000001e-002</v>
      </c>
      <c r="H69" s="309">
        <v>1.09e-002</v>
      </c>
      <c r="I69" s="309">
        <v>7.1000000000000004e-003</v>
      </c>
      <c r="J69" s="309">
        <v>1.2e-002</v>
      </c>
      <c r="K69" s="309">
        <v>6.7000000000000002e-003</v>
      </c>
      <c r="L69" s="309">
        <v>9.2700000000000005e-002</v>
      </c>
      <c r="M69" s="309">
        <v>5.2999999999999999e-002</v>
      </c>
      <c r="N69" s="309">
        <v>1.e-004</v>
      </c>
      <c r="O69" s="309">
        <v>1.e-004</v>
      </c>
      <c r="P69" s="309">
        <v>3.5000000000000001e-003</v>
      </c>
      <c r="Q69" s="309">
        <v>3.0000000000000001e-003</v>
      </c>
      <c r="R69" s="298">
        <f t="shared" si="1182"/>
        <v>488</v>
      </c>
      <c r="S69" s="298">
        <f t="shared" si="1183"/>
        <v>38</v>
      </c>
      <c r="T69" s="298">
        <f t="shared" si="1184"/>
        <v>53</v>
      </c>
      <c r="U69" s="298">
        <f t="shared" si="1185"/>
        <v>397</v>
      </c>
      <c r="V69" s="298">
        <f t="shared" si="1186"/>
        <v>0</v>
      </c>
      <c r="W69" s="298">
        <f t="shared" si="1187"/>
        <v>5</v>
      </c>
      <c r="X69" s="303">
        <f t="shared" si="1188"/>
        <v>493</v>
      </c>
      <c r="Y69" s="303">
        <f t="shared" si="1189"/>
        <v>16228</v>
      </c>
      <c r="Z69" s="304" t="s">
        <v>1284</v>
      </c>
      <c r="AA69" s="305">
        <v>6935</v>
      </c>
      <c r="AB69" s="305">
        <v>297</v>
      </c>
      <c r="AC69" s="305">
        <v>1437</v>
      </c>
      <c r="AD69" s="305">
        <v>5200</v>
      </c>
      <c r="AE69" s="305">
        <v>1</v>
      </c>
      <c r="AF69" s="298">
        <v>0</v>
      </c>
      <c r="AG69" s="303">
        <f t="shared" si="1190"/>
        <v>6935</v>
      </c>
    </row>
    <row r="70" s="202" customFormat="1" ht="15.75">
      <c r="A70" s="308">
        <v>59</v>
      </c>
      <c r="B70" s="306" t="s">
        <v>1224</v>
      </c>
      <c r="C70" s="306" t="s">
        <v>1282</v>
      </c>
      <c r="D70" s="306" t="s">
        <v>1290</v>
      </c>
      <c r="E70" s="309">
        <v>0.36030000000000001</v>
      </c>
      <c r="F70" s="309">
        <v>0.1085</v>
      </c>
      <c r="G70" s="309">
        <v>6.0299999999999999e-002</v>
      </c>
      <c r="H70" s="309">
        <v>2.01e-002</v>
      </c>
      <c r="I70" s="309">
        <v>1.04e-002</v>
      </c>
      <c r="J70" s="309">
        <v>3.5999999999999999e-003</v>
      </c>
      <c r="K70" s="309">
        <v>2.7000000000000001e-003</v>
      </c>
      <c r="L70" s="309">
        <v>8.48e-002</v>
      </c>
      <c r="M70" s="309">
        <v>4.7199999999999999e-002</v>
      </c>
      <c r="N70" s="309">
        <v>0</v>
      </c>
      <c r="O70" s="309">
        <v>0</v>
      </c>
      <c r="P70" s="309">
        <v>0</v>
      </c>
      <c r="Q70" s="309">
        <v>0</v>
      </c>
      <c r="R70" s="298">
        <f t="shared" si="1182"/>
        <v>482</v>
      </c>
      <c r="S70" s="298">
        <f t="shared" si="1183"/>
        <v>97</v>
      </c>
      <c r="T70" s="298">
        <f t="shared" si="1184"/>
        <v>9</v>
      </c>
      <c r="U70" s="298">
        <f t="shared" si="1185"/>
        <v>376</v>
      </c>
      <c r="V70" s="298">
        <f t="shared" si="1186"/>
        <v>0</v>
      </c>
      <c r="W70" s="298">
        <f t="shared" si="1187"/>
        <v>0</v>
      </c>
      <c r="X70" s="303">
        <f t="shared" si="1188"/>
        <v>482</v>
      </c>
      <c r="Y70" s="303">
        <f t="shared" si="1189"/>
        <v>8656</v>
      </c>
      <c r="Z70" s="304" t="s">
        <v>1285</v>
      </c>
      <c r="AA70" s="305">
        <v>40795</v>
      </c>
      <c r="AB70" s="305">
        <v>7149</v>
      </c>
      <c r="AC70" s="305">
        <v>14926</v>
      </c>
      <c r="AD70" s="305">
        <v>18669</v>
      </c>
      <c r="AE70" s="305">
        <v>51</v>
      </c>
      <c r="AF70" s="298">
        <v>104</v>
      </c>
      <c r="AG70" s="303">
        <f t="shared" si="1190"/>
        <v>40899</v>
      </c>
    </row>
    <row r="71" s="202" customFormat="1" ht="15.75">
      <c r="A71" s="308">
        <v>60</v>
      </c>
      <c r="B71" s="306" t="s">
        <v>1224</v>
      </c>
      <c r="C71" s="306" t="s">
        <v>1282</v>
      </c>
      <c r="D71" s="306" t="s">
        <v>1291</v>
      </c>
      <c r="E71" s="309">
        <v>3.2504</v>
      </c>
      <c r="F71" s="309">
        <v>1.0834999999999999</v>
      </c>
      <c r="G71" s="309">
        <v>0.58579999999999999</v>
      </c>
      <c r="H71" s="309">
        <v>0.1636</v>
      </c>
      <c r="I71" s="309">
        <v>8.1600000000000006e-002</v>
      </c>
      <c r="J71" s="309">
        <v>0.1128</v>
      </c>
      <c r="K71" s="309">
        <v>5.8099999999999999e-002</v>
      </c>
      <c r="L71" s="309">
        <v>0.80640000000000001</v>
      </c>
      <c r="M71" s="309">
        <v>0.44569999999999999</v>
      </c>
      <c r="N71" s="309">
        <v>6.9999999999999999e-004</v>
      </c>
      <c r="O71" s="309">
        <v>4.0000000000000002e-004</v>
      </c>
      <c r="P71" s="309">
        <v>1.72e-002</v>
      </c>
      <c r="Q71" s="309">
        <v>1.3899999999999999e-002</v>
      </c>
      <c r="R71" s="298">
        <f t="shared" si="1182"/>
        <v>4977</v>
      </c>
      <c r="S71" s="298">
        <f t="shared" si="1183"/>
        <v>820</v>
      </c>
      <c r="T71" s="298">
        <f t="shared" si="1184"/>
        <v>547</v>
      </c>
      <c r="U71" s="298">
        <f t="shared" si="1185"/>
        <v>3607</v>
      </c>
      <c r="V71" s="298">
        <f t="shared" si="1186"/>
        <v>3</v>
      </c>
      <c r="W71" s="298">
        <f t="shared" si="1187"/>
        <v>33</v>
      </c>
      <c r="X71" s="303">
        <f t="shared" si="1188"/>
        <v>5010</v>
      </c>
      <c r="Y71" s="303">
        <f t="shared" si="1189"/>
        <v>82304</v>
      </c>
      <c r="Z71" s="304" t="s">
        <v>1286</v>
      </c>
      <c r="AA71" s="305">
        <v>27522</v>
      </c>
      <c r="AB71" s="305">
        <v>4736</v>
      </c>
      <c r="AC71" s="305">
        <v>7541</v>
      </c>
      <c r="AD71" s="305">
        <v>15235</v>
      </c>
      <c r="AE71" s="305">
        <v>10</v>
      </c>
      <c r="AF71" s="298">
        <v>0</v>
      </c>
      <c r="AG71" s="303">
        <f t="shared" si="1190"/>
        <v>27522</v>
      </c>
    </row>
    <row r="72" s="202" customFormat="1" ht="15.75">
      <c r="A72" s="308">
        <v>61</v>
      </c>
      <c r="B72" s="306" t="s">
        <v>1224</v>
      </c>
      <c r="C72" s="306" t="s">
        <v>1282</v>
      </c>
      <c r="D72" s="306" t="s">
        <v>1292</v>
      </c>
      <c r="E72" s="309">
        <v>0.4451</v>
      </c>
      <c r="F72" s="309">
        <v>0.1573</v>
      </c>
      <c r="G72" s="309">
        <v>7.3599999999999999e-002</v>
      </c>
      <c r="H72" s="309">
        <v>6.6500000000000004e-002</v>
      </c>
      <c r="I72" s="309">
        <v>2.69e-002</v>
      </c>
      <c r="J72" s="309">
        <v>1.26e-002</v>
      </c>
      <c r="K72" s="309">
        <v>3.7000000000000002e-003</v>
      </c>
      <c r="L72" s="309">
        <v>7.8200000000000006e-002</v>
      </c>
      <c r="M72" s="309">
        <v>4.2999999999999997e-002</v>
      </c>
      <c r="N72" s="309">
        <v>0</v>
      </c>
      <c r="O72" s="309">
        <v>0</v>
      </c>
      <c r="P72" s="309">
        <v>0</v>
      </c>
      <c r="Q72" s="309">
        <v>0</v>
      </c>
      <c r="R72" s="298">
        <f t="shared" si="1182"/>
        <v>837</v>
      </c>
      <c r="S72" s="298">
        <f t="shared" si="1183"/>
        <v>396</v>
      </c>
      <c r="T72" s="298">
        <f t="shared" si="1184"/>
        <v>89</v>
      </c>
      <c r="U72" s="298">
        <f t="shared" si="1185"/>
        <v>352</v>
      </c>
      <c r="V72" s="298">
        <f t="shared" si="1186"/>
        <v>0</v>
      </c>
      <c r="W72" s="298">
        <f t="shared" si="1187"/>
        <v>0</v>
      </c>
      <c r="X72" s="303">
        <f t="shared" si="1188"/>
        <v>837</v>
      </c>
      <c r="Y72" s="303">
        <f t="shared" si="1189"/>
        <v>15537</v>
      </c>
      <c r="Z72" s="304" t="s">
        <v>1287</v>
      </c>
      <c r="AA72" s="305">
        <v>19674</v>
      </c>
      <c r="AB72" s="305">
        <v>763</v>
      </c>
      <c r="AC72" s="305">
        <v>3921</v>
      </c>
      <c r="AD72" s="305">
        <v>14980</v>
      </c>
      <c r="AE72" s="305">
        <v>10</v>
      </c>
      <c r="AF72" s="298">
        <v>1</v>
      </c>
      <c r="AG72" s="303">
        <f t="shared" si="1190"/>
        <v>19675</v>
      </c>
    </row>
    <row r="73" s="202" customFormat="1" ht="15.75">
      <c r="A73" s="308">
        <v>62</v>
      </c>
      <c r="B73" s="306" t="s">
        <v>1224</v>
      </c>
      <c r="C73" s="306" t="s">
        <v>1293</v>
      </c>
      <c r="D73" s="306" t="s">
        <v>1294</v>
      </c>
      <c r="E73" s="309">
        <v>0.43590000000000001</v>
      </c>
      <c r="F73" s="309">
        <v>0.15049999999999999</v>
      </c>
      <c r="G73" s="309">
        <v>8.4000000000000005e-002</v>
      </c>
      <c r="H73" s="309">
        <v>7.6e-003</v>
      </c>
      <c r="I73" s="309">
        <v>4.5999999999999999e-003</v>
      </c>
      <c r="J73" s="309">
        <v>5.3e-003</v>
      </c>
      <c r="K73" s="309">
        <v>3.0999999999999999e-003</v>
      </c>
      <c r="L73" s="309">
        <v>0.13739999999999999</v>
      </c>
      <c r="M73" s="309">
        <v>7.6300000000000007e-002</v>
      </c>
      <c r="N73" s="309">
        <v>2.0000000000000001e-004</v>
      </c>
      <c r="O73" s="309">
        <v>0</v>
      </c>
      <c r="P73" s="309">
        <v>1.e-004</v>
      </c>
      <c r="Q73" s="309">
        <v>1.e-004</v>
      </c>
      <c r="R73" s="298">
        <f t="shared" si="1182"/>
        <v>665</v>
      </c>
      <c r="S73" s="298">
        <f t="shared" si="1183"/>
        <v>30</v>
      </c>
      <c r="T73" s="298">
        <f t="shared" si="1184"/>
        <v>22</v>
      </c>
      <c r="U73" s="298">
        <f t="shared" si="1185"/>
        <v>611</v>
      </c>
      <c r="V73" s="298">
        <f t="shared" si="1186"/>
        <v>2</v>
      </c>
      <c r="W73" s="298">
        <f t="shared" si="1187"/>
        <v>0</v>
      </c>
      <c r="X73" s="303">
        <f t="shared" si="1188"/>
        <v>665</v>
      </c>
      <c r="Y73" s="303">
        <f t="shared" si="1189"/>
        <v>19938</v>
      </c>
      <c r="Z73" s="304" t="s">
        <v>1288</v>
      </c>
      <c r="AA73" s="305">
        <v>11409</v>
      </c>
      <c r="AB73" s="305">
        <v>533</v>
      </c>
      <c r="AC73" s="305">
        <v>2539</v>
      </c>
      <c r="AD73" s="305">
        <v>8334</v>
      </c>
      <c r="AE73" s="305">
        <v>3</v>
      </c>
      <c r="AF73" s="298">
        <v>167</v>
      </c>
      <c r="AG73" s="303">
        <f t="shared" si="1190"/>
        <v>11576</v>
      </c>
    </row>
    <row r="74" s="202" customFormat="1" ht="15.75">
      <c r="A74" s="308">
        <v>63</v>
      </c>
      <c r="B74" s="306" t="s">
        <v>1224</v>
      </c>
      <c r="C74" s="306" t="s">
        <v>1293</v>
      </c>
      <c r="D74" s="306" t="s">
        <v>1295</v>
      </c>
      <c r="E74" s="309">
        <v>0.73980000000000001</v>
      </c>
      <c r="F74" s="309">
        <v>0.22320000000000001</v>
      </c>
      <c r="G74" s="309">
        <v>0.1336</v>
      </c>
      <c r="H74" s="309">
        <v>6.2100000000000002e-002</v>
      </c>
      <c r="I74" s="309">
        <v>3.3700000000000001e-002</v>
      </c>
      <c r="J74" s="309">
        <v>4.02e-002</v>
      </c>
      <c r="K74" s="309">
        <v>2.4799999999999999e-002</v>
      </c>
      <c r="L74" s="309">
        <v>0.12089999999999999</v>
      </c>
      <c r="M74" s="309">
        <v>7.51e-002</v>
      </c>
      <c r="N74" s="309">
        <v>0</v>
      </c>
      <c r="O74" s="309">
        <v>0</v>
      </c>
      <c r="P74" s="309">
        <v>2.0000000000000001e-004</v>
      </c>
      <c r="Q74" s="309">
        <v>2.0000000000000001e-004</v>
      </c>
      <c r="R74" s="298">
        <f t="shared" si="1182"/>
        <v>896</v>
      </c>
      <c r="S74" s="298">
        <f t="shared" si="1183"/>
        <v>284</v>
      </c>
      <c r="T74" s="298">
        <f t="shared" si="1184"/>
        <v>154</v>
      </c>
      <c r="U74" s="298">
        <f t="shared" si="1185"/>
        <v>458</v>
      </c>
      <c r="V74" s="298">
        <f t="shared" si="1186"/>
        <v>0</v>
      </c>
      <c r="W74" s="298">
        <f t="shared" si="1187"/>
        <v>0</v>
      </c>
      <c r="X74" s="303">
        <f t="shared" si="1188"/>
        <v>896</v>
      </c>
      <c r="Y74" s="303">
        <f t="shared" si="1189"/>
        <v>28509</v>
      </c>
      <c r="Z74" s="304" t="s">
        <v>1289</v>
      </c>
      <c r="AA74" s="305">
        <v>15831</v>
      </c>
      <c r="AB74" s="305">
        <v>2369</v>
      </c>
      <c r="AC74" s="305">
        <v>2573</v>
      </c>
      <c r="AD74" s="305">
        <v>10878</v>
      </c>
      <c r="AE74" s="305">
        <v>11</v>
      </c>
      <c r="AF74" s="298">
        <v>397</v>
      </c>
      <c r="AG74" s="303">
        <f t="shared" si="1190"/>
        <v>16228</v>
      </c>
    </row>
    <row r="75" s="202" customFormat="1" ht="15.75">
      <c r="A75" s="308">
        <v>64</v>
      </c>
      <c r="B75" s="306" t="s">
        <v>1224</v>
      </c>
      <c r="C75" s="306" t="s">
        <v>1293</v>
      </c>
      <c r="D75" s="306" t="s">
        <v>1296</v>
      </c>
      <c r="E75" s="309">
        <v>0.53380000000000005</v>
      </c>
      <c r="F75" s="309">
        <v>0.15040000000000001</v>
      </c>
      <c r="G75" s="309">
        <v>7.4899999999999994e-002</v>
      </c>
      <c r="H75" s="309">
        <v>2.1399999999999999e-002</v>
      </c>
      <c r="I75" s="309">
        <v>1.1900000000000001e-002</v>
      </c>
      <c r="J75" s="309">
        <v>2.7699999999999999e-002</v>
      </c>
      <c r="K75" s="309">
        <v>1.17e-002</v>
      </c>
      <c r="L75" s="309">
        <v>0.1013</v>
      </c>
      <c r="M75" s="309">
        <v>5.1299999999999998e-002</v>
      </c>
      <c r="N75" s="309">
        <v>0</v>
      </c>
      <c r="O75" s="309">
        <v>0</v>
      </c>
      <c r="P75" s="309">
        <v>2.0000000000000001e-004</v>
      </c>
      <c r="Q75" s="309">
        <v>2.0000000000000001e-004</v>
      </c>
      <c r="R75" s="298">
        <f t="shared" si="1182"/>
        <v>755</v>
      </c>
      <c r="S75" s="298">
        <f t="shared" si="1183"/>
        <v>95</v>
      </c>
      <c r="T75" s="298">
        <f t="shared" si="1184"/>
        <v>160</v>
      </c>
      <c r="U75" s="298">
        <f t="shared" si="1185"/>
        <v>500</v>
      </c>
      <c r="V75" s="298">
        <f t="shared" si="1186"/>
        <v>0</v>
      </c>
      <c r="W75" s="298">
        <f t="shared" si="1187"/>
        <v>0</v>
      </c>
      <c r="X75" s="303">
        <f t="shared" si="1188"/>
        <v>755</v>
      </c>
      <c r="Y75" s="303">
        <f t="shared" si="1189"/>
        <v>20287</v>
      </c>
      <c r="Z75" s="304" t="s">
        <v>1290</v>
      </c>
      <c r="AA75" s="305">
        <v>8656</v>
      </c>
      <c r="AB75" s="305">
        <v>2554</v>
      </c>
      <c r="AC75" s="305">
        <v>334</v>
      </c>
      <c r="AD75" s="305">
        <v>5762</v>
      </c>
      <c r="AE75" s="305">
        <v>6</v>
      </c>
      <c r="AF75" s="298">
        <v>0</v>
      </c>
      <c r="AG75" s="303">
        <f t="shared" si="1190"/>
        <v>8656</v>
      </c>
    </row>
    <row r="76" s="202" customFormat="1" ht="15.75">
      <c r="A76" s="308">
        <v>65</v>
      </c>
      <c r="B76" s="306" t="s">
        <v>1224</v>
      </c>
      <c r="C76" s="306" t="s">
        <v>1293</v>
      </c>
      <c r="D76" s="306" t="s">
        <v>1297</v>
      </c>
      <c r="E76" s="309">
        <v>0.52339999999999998</v>
      </c>
      <c r="F76" s="309">
        <v>0.15620000000000001</v>
      </c>
      <c r="G76" s="309">
        <v>7.6799999999999993e-002</v>
      </c>
      <c r="H76" s="309">
        <v>2.35e-002</v>
      </c>
      <c r="I76" s="309">
        <v>1.11e-002</v>
      </c>
      <c r="J76" s="309">
        <v>1.03e-002</v>
      </c>
      <c r="K76" s="309">
        <v>4.1999999999999997e-003</v>
      </c>
      <c r="L76" s="309">
        <v>0.1221</v>
      </c>
      <c r="M76" s="309">
        <v>6.1400000000000003e-002</v>
      </c>
      <c r="N76" s="309">
        <v>2.9999999999999997e-004</v>
      </c>
      <c r="O76" s="309">
        <v>1.e-004</v>
      </c>
      <c r="P76" s="309">
        <v>1.1000000000000001e-003</v>
      </c>
      <c r="Q76" s="309">
        <v>1.1000000000000001e-003</v>
      </c>
      <c r="R76" s="298">
        <f t="shared" ref="R76:R138" si="1191">(F76-G76)*10000</f>
        <v>794</v>
      </c>
      <c r="S76" s="298">
        <f t="shared" ref="S76:S138" si="1192">(H76-I76)*10000</f>
        <v>124</v>
      </c>
      <c r="T76" s="298">
        <f t="shared" ref="T76:T138" si="1193">(J76-K76)*10000</f>
        <v>61</v>
      </c>
      <c r="U76" s="298">
        <f t="shared" ref="U76:U138" si="1194">(L76-M76)*10000</f>
        <v>607</v>
      </c>
      <c r="V76" s="298">
        <f t="shared" ref="V76:V138" si="1195">(N76-O76)*10000</f>
        <v>2</v>
      </c>
      <c r="W76" s="298">
        <f t="shared" ref="W76:W138" si="1196">(P76-Q76)*10000</f>
        <v>0</v>
      </c>
      <c r="X76" s="303">
        <f t="shared" ref="X76:X138" si="1197">R76+W76</f>
        <v>794</v>
      </c>
      <c r="Y76" s="303">
        <f t="shared" ref="Y76:Y108" si="1198">VLOOKUP(D76,$Z:$AG,8,0)</f>
        <v>23696</v>
      </c>
      <c r="Z76" s="304" t="s">
        <v>1291</v>
      </c>
      <c r="AA76" s="305">
        <v>81485</v>
      </c>
      <c r="AB76" s="305">
        <v>17120</v>
      </c>
      <c r="AC76" s="305">
        <v>11442</v>
      </c>
      <c r="AD76" s="305">
        <v>52845</v>
      </c>
      <c r="AE76" s="305">
        <v>78</v>
      </c>
      <c r="AF76" s="298">
        <v>819</v>
      </c>
      <c r="AG76" s="303">
        <f t="shared" ref="AG76:AG138" si="1199">AA76+AF76</f>
        <v>82304</v>
      </c>
    </row>
    <row r="77" s="202" customFormat="1" ht="15.75">
      <c r="A77" s="308">
        <v>66</v>
      </c>
      <c r="B77" s="306" t="s">
        <v>1224</v>
      </c>
      <c r="C77" s="306" t="s">
        <v>1293</v>
      </c>
      <c r="D77" s="306" t="s">
        <v>1298</v>
      </c>
      <c r="E77" s="309">
        <v>0.46160000000000001</v>
      </c>
      <c r="F77" s="309">
        <v>0.1404</v>
      </c>
      <c r="G77" s="309">
        <v>6.0100000000000001e-002</v>
      </c>
      <c r="H77" s="309">
        <v>2.64e-002</v>
      </c>
      <c r="I77" s="309">
        <v>1.18e-002</v>
      </c>
      <c r="J77" s="309">
        <v>9.9000000000000008e-003</v>
      </c>
      <c r="K77" s="309">
        <v>3.8999999999999998e-003</v>
      </c>
      <c r="L77" s="309">
        <v>0.1038</v>
      </c>
      <c r="M77" s="309">
        <v>4.4299999999999999e-002</v>
      </c>
      <c r="N77" s="309">
        <v>2.9999999999999997e-004</v>
      </c>
      <c r="O77" s="309">
        <v>1.e-004</v>
      </c>
      <c r="P77" s="309">
        <v>4.0000000000000002e-004</v>
      </c>
      <c r="Q77" s="309">
        <v>2.9999999999999997e-004</v>
      </c>
      <c r="R77" s="298">
        <f t="shared" si="1191"/>
        <v>803</v>
      </c>
      <c r="S77" s="298">
        <f t="shared" si="1192"/>
        <v>146</v>
      </c>
      <c r="T77" s="298">
        <f t="shared" si="1193"/>
        <v>60</v>
      </c>
      <c r="U77" s="298">
        <f t="shared" si="1194"/>
        <v>595</v>
      </c>
      <c r="V77" s="298">
        <f t="shared" si="1195"/>
        <v>2</v>
      </c>
      <c r="W77" s="298">
        <f t="shared" si="1196"/>
        <v>1</v>
      </c>
      <c r="X77" s="303">
        <f t="shared" si="1197"/>
        <v>804</v>
      </c>
      <c r="Y77" s="303">
        <f t="shared" si="1198"/>
        <v>17701</v>
      </c>
      <c r="Z77" s="304" t="s">
        <v>1292</v>
      </c>
      <c r="AA77" s="305">
        <v>15535</v>
      </c>
      <c r="AB77" s="305">
        <v>8005</v>
      </c>
      <c r="AC77" s="305">
        <v>1277</v>
      </c>
      <c r="AD77" s="305">
        <v>6244</v>
      </c>
      <c r="AE77" s="305">
        <v>9</v>
      </c>
      <c r="AF77" s="298">
        <v>2</v>
      </c>
      <c r="AG77" s="303">
        <f t="shared" si="1199"/>
        <v>15537</v>
      </c>
    </row>
    <row r="78" s="202" customFormat="1" ht="15.75">
      <c r="A78" s="308">
        <v>67</v>
      </c>
      <c r="B78" s="306" t="s">
        <v>1224</v>
      </c>
      <c r="C78" s="306" t="s">
        <v>1293</v>
      </c>
      <c r="D78" s="306" t="s">
        <v>1299</v>
      </c>
      <c r="E78" s="309">
        <v>0.28999999999999998</v>
      </c>
      <c r="F78" s="309">
        <v>8.9899999999999994e-002</v>
      </c>
      <c r="G78" s="309">
        <v>4.1000000000000002e-002</v>
      </c>
      <c r="H78" s="309">
        <v>1.14e-002</v>
      </c>
      <c r="I78" s="309">
        <v>5.3e-003</v>
      </c>
      <c r="J78" s="309">
        <v>3.8999999999999998e-003</v>
      </c>
      <c r="K78" s="309">
        <v>1.4e-003</v>
      </c>
      <c r="L78" s="309">
        <v>7.46e-002</v>
      </c>
      <c r="M78" s="309">
        <v>3.4299999999999997e-002</v>
      </c>
      <c r="N78" s="309">
        <v>0</v>
      </c>
      <c r="O78" s="309">
        <v>0</v>
      </c>
      <c r="P78" s="309">
        <v>0</v>
      </c>
      <c r="Q78" s="309">
        <v>0</v>
      </c>
      <c r="R78" s="298">
        <f t="shared" si="1191"/>
        <v>489</v>
      </c>
      <c r="S78" s="298">
        <f t="shared" si="1192"/>
        <v>61</v>
      </c>
      <c r="T78" s="298">
        <f t="shared" si="1193"/>
        <v>25</v>
      </c>
      <c r="U78" s="298">
        <f t="shared" si="1194"/>
        <v>403</v>
      </c>
      <c r="V78" s="298">
        <f t="shared" si="1195"/>
        <v>0</v>
      </c>
      <c r="W78" s="298">
        <f t="shared" si="1196"/>
        <v>0</v>
      </c>
      <c r="X78" s="303">
        <f t="shared" si="1197"/>
        <v>489</v>
      </c>
      <c r="Y78" s="303">
        <f t="shared" si="1198"/>
        <v>12329</v>
      </c>
      <c r="Z78" s="304" t="s">
        <v>1294</v>
      </c>
      <c r="AA78" s="305">
        <v>19936</v>
      </c>
      <c r="AB78" s="305">
        <v>1487</v>
      </c>
      <c r="AC78" s="305">
        <v>973</v>
      </c>
      <c r="AD78" s="305">
        <v>17461</v>
      </c>
      <c r="AE78" s="305">
        <v>15</v>
      </c>
      <c r="AF78" s="298">
        <v>2</v>
      </c>
      <c r="AG78" s="303">
        <f t="shared" si="1199"/>
        <v>19938</v>
      </c>
    </row>
    <row r="79" s="202" customFormat="1" ht="15.75">
      <c r="A79" s="308">
        <v>68</v>
      </c>
      <c r="B79" s="306" t="s">
        <v>1224</v>
      </c>
      <c r="C79" s="306" t="s">
        <v>1293</v>
      </c>
      <c r="D79" s="306" t="s">
        <v>1300</v>
      </c>
      <c r="E79" s="309">
        <v>0.33410000000000001</v>
      </c>
      <c r="F79" s="309">
        <v>9.4799999999999995e-002</v>
      </c>
      <c r="G79" s="309">
        <v>5.4399999999999997e-002</v>
      </c>
      <c r="H79" s="309">
        <v>2.75e-002</v>
      </c>
      <c r="I79" s="309">
        <v>1.52e-002</v>
      </c>
      <c r="J79" s="309">
        <v>5.4999999999999997e-003</v>
      </c>
      <c r="K79" s="309">
        <v>2.5999999999999999e-003</v>
      </c>
      <c r="L79" s="309">
        <v>6.1699999999999998e-002</v>
      </c>
      <c r="M79" s="309">
        <v>3.6499999999999998e-002</v>
      </c>
      <c r="N79" s="309">
        <v>1.e-004</v>
      </c>
      <c r="O79" s="309">
        <v>1.e-004</v>
      </c>
      <c r="P79" s="309">
        <v>5.0000000000000001e-004</v>
      </c>
      <c r="Q79" s="309">
        <v>5.0000000000000001e-004</v>
      </c>
      <c r="R79" s="298">
        <f t="shared" si="1191"/>
        <v>404</v>
      </c>
      <c r="S79" s="298">
        <f t="shared" si="1192"/>
        <v>123</v>
      </c>
      <c r="T79" s="298">
        <f t="shared" si="1193"/>
        <v>29</v>
      </c>
      <c r="U79" s="298">
        <f t="shared" si="1194"/>
        <v>252</v>
      </c>
      <c r="V79" s="298">
        <f t="shared" si="1195"/>
        <v>0</v>
      </c>
      <c r="W79" s="298">
        <f t="shared" si="1196"/>
        <v>0</v>
      </c>
      <c r="X79" s="303">
        <f t="shared" si="1197"/>
        <v>404</v>
      </c>
      <c r="Y79" s="303">
        <f t="shared" si="1198"/>
        <v>16776</v>
      </c>
      <c r="Z79" s="304" t="s">
        <v>1295</v>
      </c>
      <c r="AA79" s="305">
        <v>28503</v>
      </c>
      <c r="AB79" s="305">
        <v>10834</v>
      </c>
      <c r="AC79" s="305">
        <v>6495</v>
      </c>
      <c r="AD79" s="305">
        <v>11148</v>
      </c>
      <c r="AE79" s="305">
        <v>26</v>
      </c>
      <c r="AF79" s="298">
        <v>6</v>
      </c>
      <c r="AG79" s="303">
        <f t="shared" si="1199"/>
        <v>28509</v>
      </c>
    </row>
    <row r="80" s="202" customFormat="1" ht="15.75">
      <c r="A80" s="308">
        <v>69</v>
      </c>
      <c r="B80" s="306" t="s">
        <v>1224</v>
      </c>
      <c r="C80" s="306" t="s">
        <v>1293</v>
      </c>
      <c r="D80" s="306" t="s">
        <v>1301</v>
      </c>
      <c r="E80" s="309">
        <v>0.54079999999999995</v>
      </c>
      <c r="F80" s="309">
        <v>0.1595</v>
      </c>
      <c r="G80" s="309">
        <v>9.4299999999999995e-002</v>
      </c>
      <c r="H80" s="309">
        <v>6.4799999999999996e-002</v>
      </c>
      <c r="I80" s="309">
        <v>3.8899999999999997e-002</v>
      </c>
      <c r="J80" s="309">
        <v>5.1000000000000004e-003</v>
      </c>
      <c r="K80" s="309">
        <v>2.5999999999999999e-003</v>
      </c>
      <c r="L80" s="309">
        <v>8.9399999999999993e-002</v>
      </c>
      <c r="M80" s="309">
        <v>5.2699999999999997e-002</v>
      </c>
      <c r="N80" s="309">
        <v>2.0000000000000001e-004</v>
      </c>
      <c r="O80" s="309">
        <v>1.e-004</v>
      </c>
      <c r="P80" s="309">
        <v>0</v>
      </c>
      <c r="Q80" s="309">
        <v>0</v>
      </c>
      <c r="R80" s="298">
        <f t="shared" si="1191"/>
        <v>652</v>
      </c>
      <c r="S80" s="298">
        <f t="shared" si="1192"/>
        <v>259</v>
      </c>
      <c r="T80" s="298">
        <f t="shared" si="1193"/>
        <v>25</v>
      </c>
      <c r="U80" s="298">
        <f t="shared" si="1194"/>
        <v>367</v>
      </c>
      <c r="V80" s="298">
        <f t="shared" si="1195"/>
        <v>1</v>
      </c>
      <c r="W80" s="298">
        <f t="shared" si="1196"/>
        <v>0</v>
      </c>
      <c r="X80" s="303">
        <f t="shared" si="1197"/>
        <v>652</v>
      </c>
      <c r="Y80" s="303">
        <f t="shared" si="1198"/>
        <v>16149</v>
      </c>
      <c r="Z80" s="304" t="s">
        <v>1296</v>
      </c>
      <c r="AA80" s="305">
        <v>20262</v>
      </c>
      <c r="AB80" s="305">
        <v>5405</v>
      </c>
      <c r="AC80" s="305">
        <v>4882</v>
      </c>
      <c r="AD80" s="305">
        <v>9970</v>
      </c>
      <c r="AE80" s="305">
        <v>5</v>
      </c>
      <c r="AF80" s="298">
        <v>25</v>
      </c>
      <c r="AG80" s="303">
        <f t="shared" si="1199"/>
        <v>20287</v>
      </c>
    </row>
    <row r="81" s="202" customFormat="1" ht="15.75">
      <c r="A81" s="308">
        <v>70</v>
      </c>
      <c r="B81" s="306" t="s">
        <v>1224</v>
      </c>
      <c r="C81" s="306" t="s">
        <v>1302</v>
      </c>
      <c r="D81" s="306" t="s">
        <v>1303</v>
      </c>
      <c r="E81" s="309">
        <v>0.48139999999999999</v>
      </c>
      <c r="F81" s="309">
        <v>0.16900000000000001</v>
      </c>
      <c r="G81" s="309">
        <v>5.7500000000000002e-002</v>
      </c>
      <c r="H81" s="309">
        <v>4.2799999999999998e-002</v>
      </c>
      <c r="I81" s="309">
        <v>1.4e-002</v>
      </c>
      <c r="J81" s="309">
        <v>1.9599999999999999e-002</v>
      </c>
      <c r="K81" s="309">
        <v>5.7000000000000002e-003</v>
      </c>
      <c r="L81" s="309">
        <v>0.1066</v>
      </c>
      <c r="M81" s="309">
        <v>3.78e-002</v>
      </c>
      <c r="N81" s="309">
        <v>0</v>
      </c>
      <c r="O81" s="309">
        <v>0</v>
      </c>
      <c r="P81" s="309">
        <v>7.4000000000000003e-003</v>
      </c>
      <c r="Q81" s="309">
        <v>3.3e-003</v>
      </c>
      <c r="R81" s="298">
        <f t="shared" si="1191"/>
        <v>1115</v>
      </c>
      <c r="S81" s="298">
        <f t="shared" si="1192"/>
        <v>288</v>
      </c>
      <c r="T81" s="298">
        <f t="shared" si="1193"/>
        <v>139</v>
      </c>
      <c r="U81" s="298">
        <f t="shared" si="1194"/>
        <v>688</v>
      </c>
      <c r="V81" s="298">
        <f t="shared" si="1195"/>
        <v>0</v>
      </c>
      <c r="W81" s="298">
        <f t="shared" si="1196"/>
        <v>41</v>
      </c>
      <c r="X81" s="303">
        <f t="shared" si="1197"/>
        <v>1156</v>
      </c>
      <c r="Y81" s="303">
        <f t="shared" si="1198"/>
        <v>17544</v>
      </c>
      <c r="Z81" s="304" t="s">
        <v>1297</v>
      </c>
      <c r="AA81" s="305">
        <v>23567</v>
      </c>
      <c r="AB81" s="305">
        <v>9116</v>
      </c>
      <c r="AC81" s="305">
        <v>1851</v>
      </c>
      <c r="AD81" s="305">
        <v>12585</v>
      </c>
      <c r="AE81" s="305">
        <v>15</v>
      </c>
      <c r="AF81" s="298">
        <v>129</v>
      </c>
      <c r="AG81" s="303">
        <f t="shared" si="1199"/>
        <v>23696</v>
      </c>
    </row>
    <row r="82" s="202" customFormat="1" ht="15.75">
      <c r="A82" s="308">
        <v>71</v>
      </c>
      <c r="B82" s="306" t="s">
        <v>1224</v>
      </c>
      <c r="C82" s="306" t="s">
        <v>1302</v>
      </c>
      <c r="D82" s="306" t="s">
        <v>1304</v>
      </c>
      <c r="E82" s="309">
        <v>0.40629999999999999</v>
      </c>
      <c r="F82" s="309">
        <v>0.1394</v>
      </c>
      <c r="G82" s="309">
        <v>5.5500000000000001e-002</v>
      </c>
      <c r="H82" s="309">
        <v>1.78e-002</v>
      </c>
      <c r="I82" s="309">
        <v>6.6e-003</v>
      </c>
      <c r="J82" s="309">
        <v>2.87e-002</v>
      </c>
      <c r="K82" s="309">
        <v>8.6e-003</v>
      </c>
      <c r="L82" s="309">
        <v>9.2700000000000005e-002</v>
      </c>
      <c r="M82" s="309">
        <v>4.02e-002</v>
      </c>
      <c r="N82" s="309">
        <v>2.0000000000000001e-004</v>
      </c>
      <c r="O82" s="309">
        <v>1.e-004</v>
      </c>
      <c r="P82" s="309">
        <v>4.1999999999999997e-003</v>
      </c>
      <c r="Q82" s="309">
        <v>2.3999999999999998e-003</v>
      </c>
      <c r="R82" s="298">
        <f t="shared" si="1191"/>
        <v>839</v>
      </c>
      <c r="S82" s="298">
        <f t="shared" si="1192"/>
        <v>112</v>
      </c>
      <c r="T82" s="298">
        <f t="shared" si="1193"/>
        <v>201</v>
      </c>
      <c r="U82" s="298">
        <f t="shared" si="1194"/>
        <v>525</v>
      </c>
      <c r="V82" s="298">
        <f t="shared" si="1195"/>
        <v>1</v>
      </c>
      <c r="W82" s="298">
        <f t="shared" si="1196"/>
        <v>18</v>
      </c>
      <c r="X82" s="303">
        <f t="shared" si="1197"/>
        <v>857</v>
      </c>
      <c r="Y82" s="303">
        <f t="shared" si="1198"/>
        <v>13009</v>
      </c>
      <c r="Z82" s="304" t="s">
        <v>1298</v>
      </c>
      <c r="AA82" s="305">
        <v>17682</v>
      </c>
      <c r="AB82" s="305">
        <v>4918</v>
      </c>
      <c r="AC82" s="305">
        <v>1419</v>
      </c>
      <c r="AD82" s="305">
        <v>11313</v>
      </c>
      <c r="AE82" s="305">
        <v>32</v>
      </c>
      <c r="AF82" s="298">
        <v>19</v>
      </c>
      <c r="AG82" s="303">
        <f t="shared" si="1199"/>
        <v>17701</v>
      </c>
    </row>
    <row r="83" s="202" customFormat="1" ht="15.75">
      <c r="A83" s="308">
        <v>72</v>
      </c>
      <c r="B83" s="306" t="s">
        <v>1224</v>
      </c>
      <c r="C83" s="306" t="s">
        <v>1302</v>
      </c>
      <c r="D83" s="306" t="s">
        <v>1305</v>
      </c>
      <c r="E83" s="309">
        <v>0.28360000000000002</v>
      </c>
      <c r="F83" s="309">
        <v>0.1048</v>
      </c>
      <c r="G83" s="309">
        <v>1.54e-002</v>
      </c>
      <c r="H83" s="309">
        <v>1.6400000000000001e-002</v>
      </c>
      <c r="I83" s="309">
        <v>1.2999999999999999e-003</v>
      </c>
      <c r="J83" s="309">
        <v>3.3799999999999997e-002</v>
      </c>
      <c r="K83" s="309">
        <v>3.2000000000000002e-003</v>
      </c>
      <c r="L83" s="309">
        <v>5.4600000000000003e-002</v>
      </c>
      <c r="M83" s="309">
        <v>1.09e-002</v>
      </c>
      <c r="N83" s="309">
        <v>0</v>
      </c>
      <c r="O83" s="309">
        <v>0</v>
      </c>
      <c r="P83" s="309">
        <v>5.0000000000000001e-004</v>
      </c>
      <c r="Q83" s="309">
        <v>0</v>
      </c>
      <c r="R83" s="298">
        <f t="shared" si="1191"/>
        <v>894</v>
      </c>
      <c r="S83" s="298">
        <f t="shared" si="1192"/>
        <v>151</v>
      </c>
      <c r="T83" s="298">
        <f t="shared" si="1193"/>
        <v>306</v>
      </c>
      <c r="U83" s="298">
        <f t="shared" si="1194"/>
        <v>437</v>
      </c>
      <c r="V83" s="298">
        <f t="shared" si="1195"/>
        <v>0</v>
      </c>
      <c r="W83" s="298">
        <f t="shared" si="1196"/>
        <v>5</v>
      </c>
      <c r="X83" s="303">
        <f t="shared" si="1197"/>
        <v>899</v>
      </c>
      <c r="Y83" s="303">
        <f t="shared" si="1198"/>
        <v>6912</v>
      </c>
      <c r="Z83" s="304" t="s">
        <v>1299</v>
      </c>
      <c r="AA83" s="305">
        <v>12322</v>
      </c>
      <c r="AB83" s="305">
        <v>2424</v>
      </c>
      <c r="AC83" s="305">
        <v>594</v>
      </c>
      <c r="AD83" s="305">
        <v>9298</v>
      </c>
      <c r="AE83" s="305">
        <v>6</v>
      </c>
      <c r="AF83" s="298">
        <v>7</v>
      </c>
      <c r="AG83" s="303">
        <f t="shared" si="1199"/>
        <v>12329</v>
      </c>
    </row>
    <row r="84" s="202" customFormat="1" ht="15.75">
      <c r="A84" s="308">
        <v>73</v>
      </c>
      <c r="B84" s="306" t="s">
        <v>1224</v>
      </c>
      <c r="C84" s="306" t="s">
        <v>1302</v>
      </c>
      <c r="D84" s="306" t="s">
        <v>1306</v>
      </c>
      <c r="E84" s="309">
        <v>0.44280000000000003</v>
      </c>
      <c r="F84" s="309">
        <v>0.13100000000000001</v>
      </c>
      <c r="G84" s="309">
        <v>5.1900000000000002e-002</v>
      </c>
      <c r="H84" s="309">
        <v>3.2199999999999999e-002</v>
      </c>
      <c r="I84" s="309">
        <v>9.1000000000000004e-003</v>
      </c>
      <c r="J84" s="309">
        <v>3.15e-002</v>
      </c>
      <c r="K84" s="309">
        <v>1.0800000000000001e-002</v>
      </c>
      <c r="L84" s="309">
        <v>6.7199999999999996e-002</v>
      </c>
      <c r="M84" s="309">
        <v>3.2000000000000001e-002</v>
      </c>
      <c r="N84" s="309">
        <v>1.e-004</v>
      </c>
      <c r="O84" s="309">
        <v>0</v>
      </c>
      <c r="P84" s="309">
        <v>8.0999999999999996e-003</v>
      </c>
      <c r="Q84" s="309">
        <v>5.7000000000000002e-003</v>
      </c>
      <c r="R84" s="298">
        <f t="shared" si="1191"/>
        <v>791</v>
      </c>
      <c r="S84" s="298">
        <f t="shared" si="1192"/>
        <v>231</v>
      </c>
      <c r="T84" s="298">
        <f t="shared" si="1193"/>
        <v>207</v>
      </c>
      <c r="U84" s="298">
        <f t="shared" si="1194"/>
        <v>352</v>
      </c>
      <c r="V84" s="298">
        <f t="shared" si="1195"/>
        <v>1</v>
      </c>
      <c r="W84" s="298">
        <f t="shared" si="1196"/>
        <v>24</v>
      </c>
      <c r="X84" s="303">
        <f t="shared" si="1197"/>
        <v>815</v>
      </c>
      <c r="Y84" s="303">
        <f t="shared" si="1198"/>
        <v>14874</v>
      </c>
      <c r="Z84" s="304" t="s">
        <v>1300</v>
      </c>
      <c r="AA84" s="305">
        <v>16606</v>
      </c>
      <c r="AB84" s="305">
        <v>5719</v>
      </c>
      <c r="AC84" s="305">
        <v>1022</v>
      </c>
      <c r="AD84" s="305">
        <v>9859</v>
      </c>
      <c r="AE84" s="305">
        <v>6</v>
      </c>
      <c r="AF84" s="298">
        <v>170</v>
      </c>
      <c r="AG84" s="303">
        <f t="shared" si="1199"/>
        <v>16776</v>
      </c>
    </row>
    <row r="85" s="202" customFormat="1" ht="15.75">
      <c r="A85" s="308">
        <v>74</v>
      </c>
      <c r="B85" s="306" t="s">
        <v>1224</v>
      </c>
      <c r="C85" s="306" t="s">
        <v>1302</v>
      </c>
      <c r="D85" s="306" t="s">
        <v>1307</v>
      </c>
      <c r="E85" s="309">
        <v>0.24010000000000001</v>
      </c>
      <c r="F85" s="309">
        <v>8.2900000000000001e-002</v>
      </c>
      <c r="G85" s="309">
        <v>3.7999999999999999e-002</v>
      </c>
      <c r="H85" s="309">
        <v>1.8599999999999998e-002</v>
      </c>
      <c r="I85" s="309">
        <v>9.1000000000000004e-003</v>
      </c>
      <c r="J85" s="309">
        <v>2.06e-002</v>
      </c>
      <c r="K85" s="309">
        <v>9.1000000000000004e-003</v>
      </c>
      <c r="L85" s="309">
        <v>4.3700000000000003e-002</v>
      </c>
      <c r="M85" s="309">
        <v>1.9800000000000002e-002</v>
      </c>
      <c r="N85" s="309">
        <v>0</v>
      </c>
      <c r="O85" s="309">
        <v>0</v>
      </c>
      <c r="P85" s="309">
        <v>6.9999999999999999e-004</v>
      </c>
      <c r="Q85" s="309">
        <v>5.9999999999999995e-004</v>
      </c>
      <c r="R85" s="298">
        <f t="shared" si="1191"/>
        <v>449</v>
      </c>
      <c r="S85" s="298">
        <f t="shared" si="1192"/>
        <v>95</v>
      </c>
      <c r="T85" s="298">
        <f t="shared" si="1193"/>
        <v>115</v>
      </c>
      <c r="U85" s="298">
        <f t="shared" si="1194"/>
        <v>239</v>
      </c>
      <c r="V85" s="298">
        <f t="shared" si="1195"/>
        <v>0</v>
      </c>
      <c r="W85" s="298">
        <f t="shared" si="1196"/>
        <v>1</v>
      </c>
      <c r="X85" s="303">
        <f t="shared" si="1197"/>
        <v>450</v>
      </c>
      <c r="Y85" s="303">
        <f t="shared" si="1198"/>
        <v>12820</v>
      </c>
      <c r="Z85" s="304" t="s">
        <v>1301</v>
      </c>
      <c r="AA85" s="305">
        <v>16149</v>
      </c>
      <c r="AB85" s="305">
        <v>9018</v>
      </c>
      <c r="AC85" s="305">
        <v>638</v>
      </c>
      <c r="AD85" s="305">
        <v>6485</v>
      </c>
      <c r="AE85" s="305">
        <v>8</v>
      </c>
      <c r="AF85" s="298">
        <v>0</v>
      </c>
      <c r="AG85" s="303">
        <f t="shared" si="1199"/>
        <v>16149</v>
      </c>
    </row>
    <row r="86" s="202" customFormat="1" ht="15.75">
      <c r="A86" s="308">
        <v>75</v>
      </c>
      <c r="B86" s="306" t="s">
        <v>1224</v>
      </c>
      <c r="C86" s="306" t="s">
        <v>1302</v>
      </c>
      <c r="D86" s="306" t="s">
        <v>1308</v>
      </c>
      <c r="E86" s="309">
        <v>0.45879999999999999</v>
      </c>
      <c r="F86" s="309">
        <v>0.1827</v>
      </c>
      <c r="G86" s="309">
        <v>7.8100000000000003e-002</v>
      </c>
      <c r="H86" s="309">
        <v>2.7400000000000001e-002</v>
      </c>
      <c r="I86" s="309">
        <v>9.4000000000000004e-003</v>
      </c>
      <c r="J86" s="309">
        <v>3.2899999999999999e-002</v>
      </c>
      <c r="K86" s="309">
        <v>1.23e-002</v>
      </c>
      <c r="L86" s="309">
        <v>0.12239999999999999</v>
      </c>
      <c r="M86" s="309">
        <v>5.6399999999999999e-002</v>
      </c>
      <c r="N86" s="309">
        <v>0</v>
      </c>
      <c r="O86" s="309">
        <v>0</v>
      </c>
      <c r="P86" s="309">
        <v>5.1999999999999998e-003</v>
      </c>
      <c r="Q86" s="309">
        <v>3.5999999999999999e-003</v>
      </c>
      <c r="R86" s="298">
        <f t="shared" si="1191"/>
        <v>1046</v>
      </c>
      <c r="S86" s="298">
        <f t="shared" si="1192"/>
        <v>180</v>
      </c>
      <c r="T86" s="298">
        <f t="shared" si="1193"/>
        <v>206</v>
      </c>
      <c r="U86" s="298">
        <f t="shared" si="1194"/>
        <v>660</v>
      </c>
      <c r="V86" s="298">
        <f t="shared" si="1195"/>
        <v>0</v>
      </c>
      <c r="W86" s="298">
        <f t="shared" si="1196"/>
        <v>16</v>
      </c>
      <c r="X86" s="303">
        <f t="shared" si="1197"/>
        <v>1062</v>
      </c>
      <c r="Y86" s="303">
        <f t="shared" si="1198"/>
        <v>21463</v>
      </c>
      <c r="Z86" s="304" t="s">
        <v>1303</v>
      </c>
      <c r="AA86" s="305">
        <v>17292</v>
      </c>
      <c r="AB86" s="305">
        <v>5216</v>
      </c>
      <c r="AC86" s="305">
        <v>2474</v>
      </c>
      <c r="AD86" s="305">
        <v>9596</v>
      </c>
      <c r="AE86" s="305">
        <v>6</v>
      </c>
      <c r="AF86" s="298">
        <v>252</v>
      </c>
      <c r="AG86" s="303">
        <f t="shared" si="1199"/>
        <v>17544</v>
      </c>
    </row>
    <row r="87" s="202" customFormat="1" ht="15.75">
      <c r="A87" s="308">
        <v>76</v>
      </c>
      <c r="B87" s="306" t="s">
        <v>1224</v>
      </c>
      <c r="C87" s="306" t="s">
        <v>1302</v>
      </c>
      <c r="D87" s="306" t="s">
        <v>1309</v>
      </c>
      <c r="E87" s="309">
        <v>0.32329999999999998</v>
      </c>
      <c r="F87" s="309">
        <v>0.1358</v>
      </c>
      <c r="G87" s="309">
        <v>7.3700000000000002e-002</v>
      </c>
      <c r="H87" s="309">
        <v>1.77e-002</v>
      </c>
      <c r="I87" s="309">
        <v>9.5999999999999992e-003</v>
      </c>
      <c r="J87" s="309">
        <v>1.0699999999999999e-002</v>
      </c>
      <c r="K87" s="309">
        <v>4.1999999999999997e-003</v>
      </c>
      <c r="L87" s="309">
        <v>0.1074</v>
      </c>
      <c r="M87" s="309">
        <v>5.9900000000000002e-002</v>
      </c>
      <c r="N87" s="309">
        <v>0</v>
      </c>
      <c r="O87" s="309">
        <v>0</v>
      </c>
      <c r="P87" s="309">
        <v>0</v>
      </c>
      <c r="Q87" s="309">
        <v>0</v>
      </c>
      <c r="R87" s="298">
        <f t="shared" si="1191"/>
        <v>621</v>
      </c>
      <c r="S87" s="298">
        <f t="shared" si="1192"/>
        <v>81</v>
      </c>
      <c r="T87" s="298">
        <f t="shared" si="1193"/>
        <v>65</v>
      </c>
      <c r="U87" s="298">
        <f t="shared" si="1194"/>
        <v>475</v>
      </c>
      <c r="V87" s="298">
        <f t="shared" si="1195"/>
        <v>0</v>
      </c>
      <c r="W87" s="298">
        <f t="shared" si="1196"/>
        <v>0</v>
      </c>
      <c r="X87" s="303">
        <f t="shared" si="1197"/>
        <v>621</v>
      </c>
      <c r="Y87" s="303">
        <f t="shared" si="1198"/>
        <v>14464</v>
      </c>
      <c r="Z87" s="304" t="s">
        <v>1304</v>
      </c>
      <c r="AA87" s="305">
        <v>12725</v>
      </c>
      <c r="AB87" s="305">
        <v>2221</v>
      </c>
      <c r="AC87" s="305">
        <v>2903</v>
      </c>
      <c r="AD87" s="305">
        <v>7595</v>
      </c>
      <c r="AE87" s="305">
        <v>6</v>
      </c>
      <c r="AF87" s="298">
        <v>284</v>
      </c>
      <c r="AG87" s="303">
        <f t="shared" si="1199"/>
        <v>13009</v>
      </c>
    </row>
    <row r="88" s="202" customFormat="1" ht="15.75">
      <c r="A88" s="308">
        <v>77</v>
      </c>
      <c r="B88" s="306" t="s">
        <v>1224</v>
      </c>
      <c r="C88" s="306" t="s">
        <v>1302</v>
      </c>
      <c r="D88" s="306" t="s">
        <v>1310</v>
      </c>
      <c r="E88" s="309">
        <v>0.30980000000000002</v>
      </c>
      <c r="F88" s="309">
        <v>0.10489999999999999</v>
      </c>
      <c r="G88" s="309">
        <v>3.7400000000000003e-002</v>
      </c>
      <c r="H88" s="309">
        <v>1.47e-002</v>
      </c>
      <c r="I88" s="309">
        <v>4.7999999999999996e-003</v>
      </c>
      <c r="J88" s="309">
        <v>8.5000000000000006e-003</v>
      </c>
      <c r="K88" s="309">
        <v>2.5000000000000001e-003</v>
      </c>
      <c r="L88" s="309">
        <v>8.1699999999999995e-002</v>
      </c>
      <c r="M88" s="309">
        <v>3.0099999999999998e-002</v>
      </c>
      <c r="N88" s="309">
        <v>0</v>
      </c>
      <c r="O88" s="309">
        <v>0</v>
      </c>
      <c r="P88" s="309">
        <v>2.0000000000000001e-004</v>
      </c>
      <c r="Q88" s="309">
        <v>1.e-004</v>
      </c>
      <c r="R88" s="298">
        <f t="shared" si="1191"/>
        <v>675</v>
      </c>
      <c r="S88" s="298">
        <f t="shared" si="1192"/>
        <v>99</v>
      </c>
      <c r="T88" s="298">
        <f t="shared" si="1193"/>
        <v>60</v>
      </c>
      <c r="U88" s="298">
        <f t="shared" si="1194"/>
        <v>516</v>
      </c>
      <c r="V88" s="298">
        <f t="shared" si="1195"/>
        <v>0</v>
      </c>
      <c r="W88" s="298">
        <f t="shared" si="1196"/>
        <v>1</v>
      </c>
      <c r="X88" s="303">
        <f t="shared" si="1197"/>
        <v>676</v>
      </c>
      <c r="Y88" s="303">
        <f t="shared" si="1198"/>
        <v>11098</v>
      </c>
      <c r="Z88" s="304" t="s">
        <v>1305</v>
      </c>
      <c r="AA88" s="305">
        <v>6873</v>
      </c>
      <c r="AB88" s="305">
        <v>1654</v>
      </c>
      <c r="AC88" s="305">
        <v>2313</v>
      </c>
      <c r="AD88" s="305">
        <v>2906</v>
      </c>
      <c r="AE88" s="305">
        <v>0</v>
      </c>
      <c r="AF88" s="298">
        <v>39</v>
      </c>
      <c r="AG88" s="303">
        <f t="shared" si="1199"/>
        <v>6912</v>
      </c>
    </row>
    <row r="89" s="202" customFormat="1" ht="15.75">
      <c r="A89" s="308">
        <v>78</v>
      </c>
      <c r="B89" s="306" t="s">
        <v>1224</v>
      </c>
      <c r="C89" s="306" t="s">
        <v>1302</v>
      </c>
      <c r="D89" s="306" t="s">
        <v>1311</v>
      </c>
      <c r="E89" s="309">
        <v>1.1228</v>
      </c>
      <c r="F89" s="309">
        <v>0.40589999999999998</v>
      </c>
      <c r="G89" s="309">
        <v>0.25469999999999998</v>
      </c>
      <c r="H89" s="309">
        <v>3.5999999999999997e-002</v>
      </c>
      <c r="I89" s="309">
        <v>2.2499999999999999e-002</v>
      </c>
      <c r="J89" s="309">
        <v>0.17849999999999999</v>
      </c>
      <c r="K89" s="309">
        <v>0.1056</v>
      </c>
      <c r="L89" s="309">
        <v>0.19139999999999999</v>
      </c>
      <c r="M89" s="309">
        <v>0.12659999999999999</v>
      </c>
      <c r="N89" s="309">
        <v>0</v>
      </c>
      <c r="O89" s="309">
        <v>0</v>
      </c>
      <c r="P89" s="309">
        <v>1.e-003</v>
      </c>
      <c r="Q89" s="309">
        <v>8.9999999999999998e-004</v>
      </c>
      <c r="R89" s="298">
        <f t="shared" si="1191"/>
        <v>1512</v>
      </c>
      <c r="S89" s="298">
        <f t="shared" si="1192"/>
        <v>135</v>
      </c>
      <c r="T89" s="298">
        <f t="shared" si="1193"/>
        <v>729</v>
      </c>
      <c r="U89" s="298">
        <f t="shared" si="1194"/>
        <v>648</v>
      </c>
      <c r="V89" s="298">
        <f t="shared" si="1195"/>
        <v>0</v>
      </c>
      <c r="W89" s="298">
        <f t="shared" si="1196"/>
        <v>1</v>
      </c>
      <c r="X89" s="303">
        <f t="shared" si="1197"/>
        <v>1513</v>
      </c>
      <c r="Y89" s="303">
        <f t="shared" si="1198"/>
        <v>49634</v>
      </c>
      <c r="Z89" s="304" t="s">
        <v>1306</v>
      </c>
      <c r="AA89" s="305">
        <v>14076</v>
      </c>
      <c r="AB89" s="305">
        <v>3859</v>
      </c>
      <c r="AC89" s="305">
        <v>3751</v>
      </c>
      <c r="AD89" s="305">
        <v>6455</v>
      </c>
      <c r="AE89" s="305">
        <v>11</v>
      </c>
      <c r="AF89" s="298">
        <v>798</v>
      </c>
      <c r="AG89" s="303">
        <f t="shared" si="1199"/>
        <v>14874</v>
      </c>
    </row>
    <row r="90" s="202" customFormat="1" ht="15.75">
      <c r="A90" s="308">
        <v>79</v>
      </c>
      <c r="B90" s="306" t="s">
        <v>1224</v>
      </c>
      <c r="C90" s="306" t="s">
        <v>1302</v>
      </c>
      <c r="D90" s="306" t="s">
        <v>1312</v>
      </c>
      <c r="E90" s="309">
        <v>0.32890000000000003</v>
      </c>
      <c r="F90" s="309">
        <v>0.11799999999999999</v>
      </c>
      <c r="G90" s="309">
        <v>5.0900000000000001e-002</v>
      </c>
      <c r="H90" s="309">
        <v>1.32e-002</v>
      </c>
      <c r="I90" s="309">
        <v>6.3e-003</v>
      </c>
      <c r="J90" s="309">
        <v>3.6700000000000003e-002</v>
      </c>
      <c r="K90" s="309">
        <v>1.4200000000000001e-002</v>
      </c>
      <c r="L90" s="309">
        <v>6.8099999999999994e-002</v>
      </c>
      <c r="M90" s="309">
        <v>3.04e-002</v>
      </c>
      <c r="N90" s="309">
        <v>0</v>
      </c>
      <c r="O90" s="309">
        <v>0</v>
      </c>
      <c r="P90" s="309">
        <v>4.0000000000000002e-004</v>
      </c>
      <c r="Q90" s="309">
        <v>2.9999999999999997e-004</v>
      </c>
      <c r="R90" s="298">
        <f t="shared" si="1191"/>
        <v>671</v>
      </c>
      <c r="S90" s="298">
        <f t="shared" si="1192"/>
        <v>69</v>
      </c>
      <c r="T90" s="298">
        <f t="shared" si="1193"/>
        <v>225</v>
      </c>
      <c r="U90" s="298">
        <f t="shared" si="1194"/>
        <v>377</v>
      </c>
      <c r="V90" s="298">
        <f t="shared" si="1195"/>
        <v>0</v>
      </c>
      <c r="W90" s="298">
        <f t="shared" si="1196"/>
        <v>1</v>
      </c>
      <c r="X90" s="303">
        <f t="shared" si="1197"/>
        <v>672</v>
      </c>
      <c r="Y90" s="303">
        <f t="shared" si="1198"/>
        <v>14046</v>
      </c>
      <c r="Z90" s="304" t="s">
        <v>1307</v>
      </c>
      <c r="AA90" s="305">
        <v>12766</v>
      </c>
      <c r="AB90" s="305">
        <v>3692</v>
      </c>
      <c r="AC90" s="305">
        <v>3965</v>
      </c>
      <c r="AD90" s="305">
        <v>5109</v>
      </c>
      <c r="AE90" s="305">
        <v>0</v>
      </c>
      <c r="AF90" s="298">
        <v>54</v>
      </c>
      <c r="AG90" s="303">
        <f t="shared" si="1199"/>
        <v>12820</v>
      </c>
    </row>
    <row r="91" s="202" customFormat="1" ht="15.75">
      <c r="A91" s="308">
        <v>80</v>
      </c>
      <c r="B91" s="306" t="s">
        <v>1224</v>
      </c>
      <c r="C91" s="306" t="s">
        <v>1313</v>
      </c>
      <c r="D91" s="306" t="s">
        <v>1314</v>
      </c>
      <c r="E91" s="309">
        <v>0.14960000000000001</v>
      </c>
      <c r="F91" s="309">
        <v>5.1499999999999997e-002</v>
      </c>
      <c r="G91" s="309">
        <v>1.4800000000000001e-002</v>
      </c>
      <c r="H91" s="309">
        <v>6.1000000000000004e-003</v>
      </c>
      <c r="I91" s="309">
        <v>1.4e-003</v>
      </c>
      <c r="J91" s="309">
        <v>3.5999999999999999e-003</v>
      </c>
      <c r="K91" s="309">
        <v>1.1999999999999999e-003</v>
      </c>
      <c r="L91" s="309">
        <v>4.1799999999999997e-002</v>
      </c>
      <c r="M91" s="309">
        <v>1.2200000000000001e-002</v>
      </c>
      <c r="N91" s="309">
        <v>0</v>
      </c>
      <c r="O91" s="309">
        <v>0</v>
      </c>
      <c r="P91" s="309">
        <v>4.1000000000000003e-003</v>
      </c>
      <c r="Q91" s="309">
        <v>8.0000000000000004e-004</v>
      </c>
      <c r="R91" s="298">
        <f t="shared" si="1191"/>
        <v>367</v>
      </c>
      <c r="S91" s="298">
        <f t="shared" si="1192"/>
        <v>47</v>
      </c>
      <c r="T91" s="298">
        <f t="shared" si="1193"/>
        <v>24</v>
      </c>
      <c r="U91" s="298">
        <f t="shared" si="1194"/>
        <v>296</v>
      </c>
      <c r="V91" s="298">
        <f t="shared" si="1195"/>
        <v>0</v>
      </c>
      <c r="W91" s="298">
        <f t="shared" si="1196"/>
        <v>33</v>
      </c>
      <c r="X91" s="303">
        <f t="shared" si="1197"/>
        <v>400</v>
      </c>
      <c r="Y91" s="303">
        <f t="shared" si="1198"/>
        <v>6171</v>
      </c>
      <c r="Z91" s="304" t="s">
        <v>1308</v>
      </c>
      <c r="AA91" s="305">
        <v>21151</v>
      </c>
      <c r="AB91" s="305">
        <v>4354</v>
      </c>
      <c r="AC91" s="305">
        <v>4369</v>
      </c>
      <c r="AD91" s="305">
        <v>12428</v>
      </c>
      <c r="AE91" s="305">
        <v>0</v>
      </c>
      <c r="AF91" s="298">
        <v>312</v>
      </c>
      <c r="AG91" s="303">
        <f t="shared" si="1199"/>
        <v>21463</v>
      </c>
    </row>
    <row r="92" s="202" customFormat="1" ht="15.75">
      <c r="A92" s="308">
        <v>81</v>
      </c>
      <c r="B92" s="306" t="s">
        <v>1224</v>
      </c>
      <c r="C92" s="306" t="s">
        <v>1313</v>
      </c>
      <c r="D92" s="306" t="s">
        <v>1315</v>
      </c>
      <c r="E92" s="309">
        <v>0.14050000000000001</v>
      </c>
      <c r="F92" s="309">
        <v>4.6600000000000003e-002</v>
      </c>
      <c r="G92" s="309">
        <v>3.8399999999999997e-002</v>
      </c>
      <c r="H92" s="309">
        <v>8.0000000000000002e-003</v>
      </c>
      <c r="I92" s="309">
        <v>6.4000000000000003e-003</v>
      </c>
      <c r="J92" s="309">
        <v>2.5000000000000001e-003</v>
      </c>
      <c r="K92" s="309">
        <v>1.9e-003</v>
      </c>
      <c r="L92" s="309">
        <v>3.61e-002</v>
      </c>
      <c r="M92" s="309">
        <v>3.0099999999999998e-002</v>
      </c>
      <c r="N92" s="309">
        <v>0</v>
      </c>
      <c r="O92" s="309">
        <v>0</v>
      </c>
      <c r="P92" s="309">
        <v>6.9999999999999999e-004</v>
      </c>
      <c r="Q92" s="309">
        <v>6.9999999999999999e-004</v>
      </c>
      <c r="R92" s="298">
        <f t="shared" si="1191"/>
        <v>82.000000000000099</v>
      </c>
      <c r="S92" s="298">
        <f t="shared" si="1192"/>
        <v>16</v>
      </c>
      <c r="T92" s="298">
        <f t="shared" si="1193"/>
        <v>6</v>
      </c>
      <c r="U92" s="298">
        <f t="shared" si="1194"/>
        <v>60</v>
      </c>
      <c r="V92" s="298">
        <f t="shared" si="1195"/>
        <v>0</v>
      </c>
      <c r="W92" s="298">
        <f t="shared" si="1196"/>
        <v>0</v>
      </c>
      <c r="X92" s="303">
        <f t="shared" si="1197"/>
        <v>82.000000000000099</v>
      </c>
      <c r="Y92" s="303">
        <f t="shared" si="1198"/>
        <v>11814</v>
      </c>
      <c r="Z92" s="304" t="s">
        <v>1309</v>
      </c>
      <c r="AA92" s="305">
        <v>14462</v>
      </c>
      <c r="AB92" s="305">
        <v>2626</v>
      </c>
      <c r="AC92" s="305">
        <v>1347</v>
      </c>
      <c r="AD92" s="305">
        <v>10487</v>
      </c>
      <c r="AE92" s="305">
        <v>2</v>
      </c>
      <c r="AF92" s="298">
        <v>2</v>
      </c>
      <c r="AG92" s="303">
        <f t="shared" si="1199"/>
        <v>14464</v>
      </c>
    </row>
    <row r="93" s="202" customFormat="1" ht="15.75">
      <c r="A93" s="308">
        <v>82</v>
      </c>
      <c r="B93" s="306" t="s">
        <v>1224</v>
      </c>
      <c r="C93" s="306" t="s">
        <v>1313</v>
      </c>
      <c r="D93" s="306" t="s">
        <v>1316</v>
      </c>
      <c r="E93" s="309">
        <v>0.33829999999999999</v>
      </c>
      <c r="F93" s="309">
        <v>8.6499999999999994e-002</v>
      </c>
      <c r="G93" s="309">
        <v>6.4799999999999996e-002</v>
      </c>
      <c r="H93" s="309">
        <v>1.61e-002</v>
      </c>
      <c r="I93" s="309">
        <v>1.24e-002</v>
      </c>
      <c r="J93" s="309">
        <v>4.7999999999999996e-003</v>
      </c>
      <c r="K93" s="309">
        <v>3.3e-003</v>
      </c>
      <c r="L93" s="309">
        <v>6.5600000000000006e-002</v>
      </c>
      <c r="M93" s="309">
        <v>4.9099999999999998e-002</v>
      </c>
      <c r="N93" s="309">
        <v>0</v>
      </c>
      <c r="O93" s="309">
        <v>0</v>
      </c>
      <c r="P93" s="309">
        <v>0</v>
      </c>
      <c r="Q93" s="309">
        <v>0</v>
      </c>
      <c r="R93" s="298">
        <f t="shared" si="1191"/>
        <v>217</v>
      </c>
      <c r="S93" s="298">
        <f t="shared" si="1192"/>
        <v>37</v>
      </c>
      <c r="T93" s="298">
        <f t="shared" si="1193"/>
        <v>15</v>
      </c>
      <c r="U93" s="298">
        <f t="shared" si="1194"/>
        <v>165</v>
      </c>
      <c r="V93" s="298">
        <f t="shared" si="1195"/>
        <v>0</v>
      </c>
      <c r="W93" s="298">
        <f t="shared" si="1196"/>
        <v>0</v>
      </c>
      <c r="X93" s="303">
        <f t="shared" si="1197"/>
        <v>217</v>
      </c>
      <c r="Y93" s="303">
        <f t="shared" si="1198"/>
        <v>28420</v>
      </c>
      <c r="Z93" s="304" t="s">
        <v>1310</v>
      </c>
      <c r="AA93" s="305">
        <v>11054</v>
      </c>
      <c r="AB93" s="305">
        <v>1997</v>
      </c>
      <c r="AC93" s="305">
        <v>1081</v>
      </c>
      <c r="AD93" s="305">
        <v>7975</v>
      </c>
      <c r="AE93" s="305">
        <v>1</v>
      </c>
      <c r="AF93" s="298">
        <v>44</v>
      </c>
      <c r="AG93" s="303">
        <f t="shared" si="1199"/>
        <v>11098</v>
      </c>
    </row>
    <row r="94" s="202" customFormat="1" ht="15.75">
      <c r="A94" s="308">
        <v>83</v>
      </c>
      <c r="B94" s="306" t="s">
        <v>1224</v>
      </c>
      <c r="C94" s="306" t="s">
        <v>1313</v>
      </c>
      <c r="D94" s="306" t="s">
        <v>1317</v>
      </c>
      <c r="E94" s="309">
        <v>0.40179999999999999</v>
      </c>
      <c r="F94" s="309">
        <v>0.1116</v>
      </c>
      <c r="G94" s="309">
        <v>9.8000000000000004e-002</v>
      </c>
      <c r="H94" s="309">
        <v>1.6500000000000001e-002</v>
      </c>
      <c r="I94" s="309">
        <v>1.3299999999999999e-002</v>
      </c>
      <c r="J94" s="309">
        <v>2.1000000000000001e-002</v>
      </c>
      <c r="K94" s="309">
        <v>1.83e-002</v>
      </c>
      <c r="L94" s="309">
        <v>7.4099999999999999e-002</v>
      </c>
      <c r="M94" s="309">
        <v>6.6400000000000001e-002</v>
      </c>
      <c r="N94" s="309">
        <v>0</v>
      </c>
      <c r="O94" s="309">
        <v>0</v>
      </c>
      <c r="P94" s="309">
        <v>6.9999999999999999e-004</v>
      </c>
      <c r="Q94" s="309">
        <v>6.9999999999999999e-004</v>
      </c>
      <c r="R94" s="298">
        <f t="shared" si="1191"/>
        <v>136</v>
      </c>
      <c r="S94" s="298">
        <f t="shared" si="1192"/>
        <v>32</v>
      </c>
      <c r="T94" s="298">
        <f t="shared" si="1193"/>
        <v>27</v>
      </c>
      <c r="U94" s="298">
        <f t="shared" si="1194"/>
        <v>77</v>
      </c>
      <c r="V94" s="298">
        <f t="shared" si="1195"/>
        <v>0</v>
      </c>
      <c r="W94" s="298">
        <f t="shared" si="1196"/>
        <v>0</v>
      </c>
      <c r="X94" s="303">
        <f t="shared" si="1197"/>
        <v>136</v>
      </c>
      <c r="Y94" s="303">
        <f t="shared" si="1198"/>
        <v>32420</v>
      </c>
      <c r="Z94" s="304" t="s">
        <v>1311</v>
      </c>
      <c r="AA94" s="305">
        <v>49506</v>
      </c>
      <c r="AB94" s="305">
        <v>5663</v>
      </c>
      <c r="AC94" s="305">
        <v>22946</v>
      </c>
      <c r="AD94" s="305">
        <v>20896</v>
      </c>
      <c r="AE94" s="305">
        <v>1</v>
      </c>
      <c r="AF94" s="298">
        <v>128</v>
      </c>
      <c r="AG94" s="303">
        <f t="shared" si="1199"/>
        <v>49634</v>
      </c>
    </row>
    <row r="95" s="202" customFormat="1" ht="15.75">
      <c r="A95" s="308">
        <v>84</v>
      </c>
      <c r="B95" s="306" t="s">
        <v>1224</v>
      </c>
      <c r="C95" s="306" t="s">
        <v>1313</v>
      </c>
      <c r="D95" s="306" t="s">
        <v>1318</v>
      </c>
      <c r="E95" s="309">
        <v>0.38109999999999999</v>
      </c>
      <c r="F95" s="309">
        <v>9.4600000000000004e-002</v>
      </c>
      <c r="G95" s="309">
        <v>3.9699999999999999e-002</v>
      </c>
      <c r="H95" s="309">
        <v>1.23e-002</v>
      </c>
      <c r="I95" s="309">
        <v>3.5000000000000001e-003</v>
      </c>
      <c r="J95" s="309">
        <v>8.9999999999999993e-003</v>
      </c>
      <c r="K95" s="309">
        <v>4.1000000000000003e-003</v>
      </c>
      <c r="L95" s="309">
        <v>7.3300000000000004e-002</v>
      </c>
      <c r="M95" s="309">
        <v>3.2099999999999997e-002</v>
      </c>
      <c r="N95" s="309">
        <v>0</v>
      </c>
      <c r="O95" s="309">
        <v>0</v>
      </c>
      <c r="P95" s="309">
        <v>0</v>
      </c>
      <c r="Q95" s="309">
        <v>0</v>
      </c>
      <c r="R95" s="298">
        <f t="shared" si="1191"/>
        <v>549</v>
      </c>
      <c r="S95" s="298">
        <f t="shared" si="1192"/>
        <v>88</v>
      </c>
      <c r="T95" s="298">
        <f t="shared" si="1193"/>
        <v>49</v>
      </c>
      <c r="U95" s="298">
        <f t="shared" si="1194"/>
        <v>412</v>
      </c>
      <c r="V95" s="298">
        <f t="shared" si="1195"/>
        <v>0</v>
      </c>
      <c r="W95" s="298">
        <f t="shared" si="1196"/>
        <v>0</v>
      </c>
      <c r="X95" s="303">
        <f t="shared" si="1197"/>
        <v>549</v>
      </c>
      <c r="Y95" s="303">
        <f t="shared" si="1198"/>
        <v>19820</v>
      </c>
      <c r="Z95" s="304" t="s">
        <v>1312</v>
      </c>
      <c r="AA95" s="305">
        <v>14000</v>
      </c>
      <c r="AB95" s="305">
        <v>2145</v>
      </c>
      <c r="AC95" s="305">
        <v>4800</v>
      </c>
      <c r="AD95" s="305">
        <v>7054</v>
      </c>
      <c r="AE95" s="305">
        <v>1</v>
      </c>
      <c r="AF95" s="298">
        <v>46</v>
      </c>
      <c r="AG95" s="303">
        <f t="shared" si="1199"/>
        <v>14046</v>
      </c>
    </row>
    <row r="96" s="202" customFormat="1" ht="15.75">
      <c r="A96" s="308">
        <v>85</v>
      </c>
      <c r="B96" s="306" t="s">
        <v>1224</v>
      </c>
      <c r="C96" s="306" t="s">
        <v>1313</v>
      </c>
      <c r="D96" s="306" t="s">
        <v>1319</v>
      </c>
      <c r="E96" s="309">
        <v>0.22070000000000001</v>
      </c>
      <c r="F96" s="309">
        <v>5.8500000000000003e-002</v>
      </c>
      <c r="G96" s="309">
        <v>2.4899999999999999e-002</v>
      </c>
      <c r="H96" s="309">
        <v>5.5999999999999999e-003</v>
      </c>
      <c r="I96" s="309">
        <v>2.0999999999999999e-003</v>
      </c>
      <c r="J96" s="309">
        <v>1.35e-002</v>
      </c>
      <c r="K96" s="309">
        <v>5.8999999999999999e-003</v>
      </c>
      <c r="L96" s="309">
        <v>3.9399999999999998e-002</v>
      </c>
      <c r="M96" s="309">
        <v>1.6899999999999998e-002</v>
      </c>
      <c r="N96" s="309">
        <v>0</v>
      </c>
      <c r="O96" s="309">
        <v>0</v>
      </c>
      <c r="P96" s="309">
        <v>0</v>
      </c>
      <c r="Q96" s="309">
        <v>0</v>
      </c>
      <c r="R96" s="298">
        <f t="shared" si="1191"/>
        <v>336</v>
      </c>
      <c r="S96" s="298">
        <f t="shared" si="1192"/>
        <v>35</v>
      </c>
      <c r="T96" s="298">
        <f t="shared" si="1193"/>
        <v>76</v>
      </c>
      <c r="U96" s="298">
        <f t="shared" si="1194"/>
        <v>225</v>
      </c>
      <c r="V96" s="298">
        <f t="shared" si="1195"/>
        <v>0</v>
      </c>
      <c r="W96" s="298">
        <f t="shared" si="1196"/>
        <v>0</v>
      </c>
      <c r="X96" s="303">
        <f t="shared" si="1197"/>
        <v>336</v>
      </c>
      <c r="Y96" s="303">
        <f t="shared" si="1198"/>
        <v>13064</v>
      </c>
      <c r="Z96" s="304" t="s">
        <v>1314</v>
      </c>
      <c r="AA96" s="305">
        <v>6043</v>
      </c>
      <c r="AB96" s="305">
        <v>1299</v>
      </c>
      <c r="AC96" s="305">
        <v>978</v>
      </c>
      <c r="AD96" s="305">
        <v>3763</v>
      </c>
      <c r="AE96" s="305">
        <v>3</v>
      </c>
      <c r="AF96" s="298">
        <v>128</v>
      </c>
      <c r="AG96" s="303">
        <f t="shared" si="1199"/>
        <v>6171</v>
      </c>
    </row>
    <row r="97" s="202" customFormat="1" ht="15.75">
      <c r="A97" s="308">
        <v>86</v>
      </c>
      <c r="B97" s="306" t="s">
        <v>1224</v>
      </c>
      <c r="C97" s="306" t="s">
        <v>1313</v>
      </c>
      <c r="D97" s="306" t="s">
        <v>1320</v>
      </c>
      <c r="E97" s="309">
        <v>0.54690000000000005</v>
      </c>
      <c r="F97" s="309">
        <v>0.14410000000000001</v>
      </c>
      <c r="G97" s="309">
        <v>9.2999999999999999e-002</v>
      </c>
      <c r="H97" s="309">
        <v>3.2899999999999999e-002</v>
      </c>
      <c r="I97" s="309">
        <v>2.1600000000000001e-002</v>
      </c>
      <c r="J97" s="309">
        <v>1.7299999999999999e-002</v>
      </c>
      <c r="K97" s="309">
        <v>1.12e-002</v>
      </c>
      <c r="L97" s="309">
        <v>9.3899999999999997e-002</v>
      </c>
      <c r="M97" s="309">
        <v>6.0199999999999997e-002</v>
      </c>
      <c r="N97" s="309">
        <v>0</v>
      </c>
      <c r="O97" s="309">
        <v>0</v>
      </c>
      <c r="P97" s="309">
        <v>2.0000000000000001e-004</v>
      </c>
      <c r="Q97" s="309">
        <v>2.0000000000000001e-004</v>
      </c>
      <c r="R97" s="298">
        <f t="shared" si="1191"/>
        <v>511</v>
      </c>
      <c r="S97" s="298">
        <f t="shared" si="1192"/>
        <v>113</v>
      </c>
      <c r="T97" s="298">
        <f t="shared" si="1193"/>
        <v>61</v>
      </c>
      <c r="U97" s="298">
        <f t="shared" si="1194"/>
        <v>337</v>
      </c>
      <c r="V97" s="298">
        <f t="shared" si="1195"/>
        <v>0</v>
      </c>
      <c r="W97" s="298">
        <f t="shared" si="1196"/>
        <v>0</v>
      </c>
      <c r="X97" s="303">
        <f t="shared" si="1197"/>
        <v>511</v>
      </c>
      <c r="Y97" s="303">
        <f t="shared" si="1198"/>
        <v>17193</v>
      </c>
      <c r="Z97" s="304" t="s">
        <v>1315</v>
      </c>
      <c r="AA97" s="305">
        <v>11741</v>
      </c>
      <c r="AB97" s="305">
        <v>3556</v>
      </c>
      <c r="AC97" s="305">
        <v>765</v>
      </c>
      <c r="AD97" s="305">
        <v>7420</v>
      </c>
      <c r="AE97" s="305">
        <v>0</v>
      </c>
      <c r="AF97" s="298">
        <v>73</v>
      </c>
      <c r="AG97" s="303">
        <f t="shared" si="1199"/>
        <v>11814</v>
      </c>
    </row>
    <row r="98" s="202" customFormat="1" ht="15.75">
      <c r="A98" s="308">
        <v>87</v>
      </c>
      <c r="B98" s="306" t="s">
        <v>1224</v>
      </c>
      <c r="C98" s="306" t="s">
        <v>1313</v>
      </c>
      <c r="D98" s="306" t="s">
        <v>1321</v>
      </c>
      <c r="E98" s="309">
        <v>0.60499999999999998</v>
      </c>
      <c r="F98" s="309">
        <v>0.19170000000000001</v>
      </c>
      <c r="G98" s="309">
        <v>0.1391</v>
      </c>
      <c r="H98" s="309">
        <v>3.2399999999999998e-002</v>
      </c>
      <c r="I98" s="309">
        <v>2.46e-002</v>
      </c>
      <c r="J98" s="309">
        <v>3.04e-002</v>
      </c>
      <c r="K98" s="309">
        <v>2.1100000000000001e-002</v>
      </c>
      <c r="L98" s="309">
        <v>0.12889999999999999</v>
      </c>
      <c r="M98" s="309">
        <v>9.3399999999999997e-002</v>
      </c>
      <c r="N98" s="309">
        <v>0</v>
      </c>
      <c r="O98" s="309">
        <v>0</v>
      </c>
      <c r="P98" s="309">
        <v>2.9999999999999997e-004</v>
      </c>
      <c r="Q98" s="309">
        <v>2.9999999999999997e-004</v>
      </c>
      <c r="R98" s="298">
        <f t="shared" si="1191"/>
        <v>526</v>
      </c>
      <c r="S98" s="298">
        <f t="shared" si="1192"/>
        <v>78</v>
      </c>
      <c r="T98" s="298">
        <f t="shared" si="1193"/>
        <v>93</v>
      </c>
      <c r="U98" s="298">
        <f t="shared" si="1194"/>
        <v>355</v>
      </c>
      <c r="V98" s="298">
        <f t="shared" si="1195"/>
        <v>0</v>
      </c>
      <c r="W98" s="298">
        <f t="shared" si="1196"/>
        <v>0</v>
      </c>
      <c r="X98" s="303">
        <f t="shared" si="1197"/>
        <v>526</v>
      </c>
      <c r="Y98" s="303">
        <f t="shared" si="1198"/>
        <v>23392</v>
      </c>
      <c r="Z98" s="304" t="s">
        <v>1316</v>
      </c>
      <c r="AA98" s="305">
        <v>28418</v>
      </c>
      <c r="AB98" s="305">
        <v>9841</v>
      </c>
      <c r="AC98" s="305">
        <v>1977</v>
      </c>
      <c r="AD98" s="305">
        <v>16599</v>
      </c>
      <c r="AE98" s="305">
        <v>1</v>
      </c>
      <c r="AF98" s="298">
        <v>2</v>
      </c>
      <c r="AG98" s="303">
        <f t="shared" si="1199"/>
        <v>28420</v>
      </c>
    </row>
    <row r="99" s="202" customFormat="1" ht="15.75">
      <c r="A99" s="308">
        <v>88</v>
      </c>
      <c r="B99" s="306" t="s">
        <v>1224</v>
      </c>
      <c r="C99" s="306" t="s">
        <v>1313</v>
      </c>
      <c r="D99" s="306" t="s">
        <v>1322</v>
      </c>
      <c r="E99" s="309">
        <v>1.5403</v>
      </c>
      <c r="F99" s="309">
        <v>0.51639999999999997</v>
      </c>
      <c r="G99" s="309">
        <v>0.28649999999999998</v>
      </c>
      <c r="H99" s="309">
        <v>0.161</v>
      </c>
      <c r="I99" s="309">
        <v>8.7599999999999997e-002</v>
      </c>
      <c r="J99" s="309">
        <v>0.15490000000000001</v>
      </c>
      <c r="K99" s="309">
        <v>8.2600000000000007e-002</v>
      </c>
      <c r="L99" s="309">
        <v>0.20030000000000001</v>
      </c>
      <c r="M99" s="309">
        <v>0.1162</v>
      </c>
      <c r="N99" s="309">
        <v>2.0000000000000001e-004</v>
      </c>
      <c r="O99" s="309">
        <v>1.e-004</v>
      </c>
      <c r="P99" s="309">
        <v>6.1999999999999998e-003</v>
      </c>
      <c r="Q99" s="309">
        <v>5.5999999999999999e-003</v>
      </c>
      <c r="R99" s="298">
        <f t="shared" si="1191"/>
        <v>2299</v>
      </c>
      <c r="S99" s="298">
        <f t="shared" si="1192"/>
        <v>734</v>
      </c>
      <c r="T99" s="298">
        <f t="shared" si="1193"/>
        <v>723</v>
      </c>
      <c r="U99" s="298">
        <f t="shared" si="1194"/>
        <v>841</v>
      </c>
      <c r="V99" s="298">
        <f t="shared" si="1195"/>
        <v>1</v>
      </c>
      <c r="W99" s="298">
        <f t="shared" si="1196"/>
        <v>6</v>
      </c>
      <c r="X99" s="303">
        <f t="shared" si="1197"/>
        <v>2305</v>
      </c>
      <c r="Y99" s="303">
        <f t="shared" si="1198"/>
        <v>74994</v>
      </c>
      <c r="Z99" s="304" t="s">
        <v>1317</v>
      </c>
      <c r="AA99" s="305">
        <v>32318</v>
      </c>
      <c r="AB99" s="305">
        <v>9192</v>
      </c>
      <c r="AC99" s="305">
        <v>8085</v>
      </c>
      <c r="AD99" s="305">
        <v>15034</v>
      </c>
      <c r="AE99" s="305">
        <v>7</v>
      </c>
      <c r="AF99" s="298">
        <v>102</v>
      </c>
      <c r="AG99" s="303">
        <f t="shared" si="1199"/>
        <v>32420</v>
      </c>
    </row>
    <row r="100" s="202" customFormat="1" ht="15.75">
      <c r="A100" s="308">
        <v>89</v>
      </c>
      <c r="B100" s="306" t="s">
        <v>1224</v>
      </c>
      <c r="C100" s="306" t="s">
        <v>1313</v>
      </c>
      <c r="D100" s="306" t="s">
        <v>1323</v>
      </c>
      <c r="E100" s="309">
        <v>1.0392999999999999</v>
      </c>
      <c r="F100" s="309">
        <v>0.30370000000000003</v>
      </c>
      <c r="G100" s="309">
        <v>0.22750000000000001</v>
      </c>
      <c r="H100" s="309">
        <v>6.9900000000000004e-002</v>
      </c>
      <c r="I100" s="309">
        <v>5.28e-002</v>
      </c>
      <c r="J100" s="309">
        <v>0.1153</v>
      </c>
      <c r="K100" s="309">
        <v>7.6200000000000004e-002</v>
      </c>
      <c r="L100" s="309">
        <v>0.1183</v>
      </c>
      <c r="M100" s="309">
        <v>9.8299999999999998e-002</v>
      </c>
      <c r="N100" s="309">
        <v>2.0000000000000001e-004</v>
      </c>
      <c r="O100" s="309">
        <v>2.0000000000000001e-004</v>
      </c>
      <c r="P100" s="309">
        <v>3.3e-003</v>
      </c>
      <c r="Q100" s="309">
        <v>3.2000000000000002e-003</v>
      </c>
      <c r="R100" s="298">
        <f t="shared" si="1191"/>
        <v>762</v>
      </c>
      <c r="S100" s="298">
        <f t="shared" si="1192"/>
        <v>171</v>
      </c>
      <c r="T100" s="298">
        <f t="shared" si="1193"/>
        <v>391</v>
      </c>
      <c r="U100" s="298">
        <f t="shared" si="1194"/>
        <v>200</v>
      </c>
      <c r="V100" s="298">
        <f t="shared" si="1195"/>
        <v>0</v>
      </c>
      <c r="W100" s="298">
        <f t="shared" si="1196"/>
        <v>0.999999999999998</v>
      </c>
      <c r="X100" s="303">
        <f t="shared" si="1197"/>
        <v>763</v>
      </c>
      <c r="Y100" s="303">
        <f t="shared" si="1198"/>
        <v>54118</v>
      </c>
      <c r="Z100" s="304" t="s">
        <v>1318</v>
      </c>
      <c r="AA100" s="305">
        <v>19814</v>
      </c>
      <c r="AB100" s="305">
        <v>3842</v>
      </c>
      <c r="AC100" s="305">
        <v>3046</v>
      </c>
      <c r="AD100" s="305">
        <v>12919</v>
      </c>
      <c r="AE100" s="305">
        <v>7</v>
      </c>
      <c r="AF100" s="298">
        <v>6</v>
      </c>
      <c r="AG100" s="303">
        <f t="shared" si="1199"/>
        <v>19820</v>
      </c>
    </row>
    <row r="101" s="202" customFormat="1" ht="15.75">
      <c r="A101" s="308">
        <v>90</v>
      </c>
      <c r="B101" s="306" t="s">
        <v>1224</v>
      </c>
      <c r="C101" s="306" t="s">
        <v>1313</v>
      </c>
      <c r="D101" s="306" t="s">
        <v>1324</v>
      </c>
      <c r="E101" s="309">
        <v>1.3854</v>
      </c>
      <c r="F101" s="309">
        <v>0.45169999999999999</v>
      </c>
      <c r="G101" s="309">
        <v>0.2203</v>
      </c>
      <c r="H101" s="309">
        <v>0.1595</v>
      </c>
      <c r="I101" s="309">
        <v>6.9699999999999998e-002</v>
      </c>
      <c r="J101" s="309">
        <v>6.4600000000000005e-002</v>
      </c>
      <c r="K101" s="309">
        <v>3.0200000000000001e-002</v>
      </c>
      <c r="L101" s="309">
        <v>0.22739999999999999</v>
      </c>
      <c r="M101" s="309">
        <v>0.1203</v>
      </c>
      <c r="N101" s="309">
        <v>2.0000000000000001e-004</v>
      </c>
      <c r="O101" s="309">
        <v>1.e-004</v>
      </c>
      <c r="P101" s="309">
        <v>2.0000000000000001e-004</v>
      </c>
      <c r="Q101" s="309">
        <v>1.e-004</v>
      </c>
      <c r="R101" s="298">
        <f t="shared" si="1191"/>
        <v>2314</v>
      </c>
      <c r="S101" s="298">
        <f t="shared" si="1192"/>
        <v>898</v>
      </c>
      <c r="T101" s="298">
        <f t="shared" si="1193"/>
        <v>344</v>
      </c>
      <c r="U101" s="298">
        <f t="shared" si="1194"/>
        <v>1071</v>
      </c>
      <c r="V101" s="298">
        <f t="shared" si="1195"/>
        <v>1</v>
      </c>
      <c r="W101" s="298">
        <f t="shared" si="1196"/>
        <v>1</v>
      </c>
      <c r="X101" s="303">
        <f t="shared" si="1197"/>
        <v>2315</v>
      </c>
      <c r="Y101" s="303">
        <f t="shared" si="1198"/>
        <v>55014</v>
      </c>
      <c r="Z101" s="304" t="s">
        <v>1319</v>
      </c>
      <c r="AA101" s="305">
        <v>13054</v>
      </c>
      <c r="AB101" s="305">
        <v>2649</v>
      </c>
      <c r="AC101" s="305">
        <v>4770</v>
      </c>
      <c r="AD101" s="305">
        <v>5634</v>
      </c>
      <c r="AE101" s="305">
        <v>1</v>
      </c>
      <c r="AF101" s="298">
        <v>10</v>
      </c>
      <c r="AG101" s="303">
        <f t="shared" si="1199"/>
        <v>13064</v>
      </c>
    </row>
    <row r="102" s="202" customFormat="1" ht="15.75">
      <c r="A102" s="308">
        <v>91</v>
      </c>
      <c r="B102" s="306" t="s">
        <v>1224</v>
      </c>
      <c r="C102" s="306" t="s">
        <v>1313</v>
      </c>
      <c r="D102" s="306" t="s">
        <v>1325</v>
      </c>
      <c r="E102" s="309">
        <v>0.84589999999999999</v>
      </c>
      <c r="F102" s="309">
        <v>0.24629999999999999</v>
      </c>
      <c r="G102" s="309">
        <v>0.1726</v>
      </c>
      <c r="H102" s="309">
        <v>8.1699999999999995e-002</v>
      </c>
      <c r="I102" s="309">
        <v>5.4199999999999998e-002</v>
      </c>
      <c r="J102" s="309">
        <v>4.1799999999999997e-002</v>
      </c>
      <c r="K102" s="309">
        <v>2.69e-002</v>
      </c>
      <c r="L102" s="309">
        <v>0.12280000000000001</v>
      </c>
      <c r="M102" s="309">
        <v>9.1499999999999998e-002</v>
      </c>
      <c r="N102" s="309">
        <v>0</v>
      </c>
      <c r="O102" s="309">
        <v>0</v>
      </c>
      <c r="P102" s="309">
        <v>1.2999999999999999e-003</v>
      </c>
      <c r="Q102" s="309">
        <v>6.9999999999999999e-004</v>
      </c>
      <c r="R102" s="298">
        <f t="shared" si="1191"/>
        <v>737</v>
      </c>
      <c r="S102" s="298">
        <f t="shared" si="1192"/>
        <v>275</v>
      </c>
      <c r="T102" s="298">
        <f t="shared" si="1193"/>
        <v>149</v>
      </c>
      <c r="U102" s="298">
        <f t="shared" si="1194"/>
        <v>313</v>
      </c>
      <c r="V102" s="298">
        <f t="shared" si="1195"/>
        <v>0</v>
      </c>
      <c r="W102" s="298">
        <f t="shared" si="1196"/>
        <v>6</v>
      </c>
      <c r="X102" s="303">
        <f t="shared" si="1197"/>
        <v>743</v>
      </c>
      <c r="Y102" s="303">
        <f t="shared" si="1198"/>
        <v>45742</v>
      </c>
      <c r="Z102" s="304" t="s">
        <v>1320</v>
      </c>
      <c r="AA102" s="305">
        <v>17181</v>
      </c>
      <c r="AB102" s="305">
        <v>4977</v>
      </c>
      <c r="AC102" s="305">
        <v>2205</v>
      </c>
      <c r="AD102" s="305">
        <v>9993</v>
      </c>
      <c r="AE102" s="305">
        <v>6</v>
      </c>
      <c r="AF102" s="298">
        <v>12</v>
      </c>
      <c r="AG102" s="303">
        <f t="shared" si="1199"/>
        <v>17193</v>
      </c>
    </row>
    <row r="103" s="202" customFormat="1" ht="15.75">
      <c r="A103" s="308">
        <v>92</v>
      </c>
      <c r="B103" s="306" t="s">
        <v>1224</v>
      </c>
      <c r="C103" s="306" t="s">
        <v>1313</v>
      </c>
      <c r="D103" s="306" t="s">
        <v>1326</v>
      </c>
      <c r="E103" s="309">
        <v>0.1522</v>
      </c>
      <c r="F103" s="309">
        <v>5.7200000000000001e-002</v>
      </c>
      <c r="G103" s="309">
        <v>3.5400000000000001e-002</v>
      </c>
      <c r="H103" s="309">
        <v>1.3599999999999999e-002</v>
      </c>
      <c r="I103" s="309">
        <v>8.6e-003</v>
      </c>
      <c r="J103" s="309">
        <v>3.8999999999999998e-003</v>
      </c>
      <c r="K103" s="309">
        <v>1.9e-003</v>
      </c>
      <c r="L103" s="309">
        <v>3.9600000000000003e-002</v>
      </c>
      <c r="M103" s="309">
        <v>2.4799999999999999e-002</v>
      </c>
      <c r="N103" s="309">
        <v>1.e-004</v>
      </c>
      <c r="O103" s="309">
        <v>1.e-004</v>
      </c>
      <c r="P103" s="309">
        <v>0</v>
      </c>
      <c r="Q103" s="309">
        <v>0</v>
      </c>
      <c r="R103" s="298">
        <f t="shared" si="1191"/>
        <v>218</v>
      </c>
      <c r="S103" s="298">
        <f t="shared" si="1192"/>
        <v>50</v>
      </c>
      <c r="T103" s="298">
        <f t="shared" si="1193"/>
        <v>20</v>
      </c>
      <c r="U103" s="298">
        <f t="shared" si="1194"/>
        <v>148</v>
      </c>
      <c r="V103" s="298">
        <f t="shared" si="1195"/>
        <v>0</v>
      </c>
      <c r="W103" s="298">
        <f t="shared" si="1196"/>
        <v>0</v>
      </c>
      <c r="X103" s="303">
        <f t="shared" si="1197"/>
        <v>218</v>
      </c>
      <c r="Y103" s="303">
        <f t="shared" si="1198"/>
        <v>6758</v>
      </c>
      <c r="Z103" s="304" t="s">
        <v>1321</v>
      </c>
      <c r="AA103" s="305">
        <v>23373</v>
      </c>
      <c r="AB103" s="305">
        <v>5222</v>
      </c>
      <c r="AC103" s="305">
        <v>4958</v>
      </c>
      <c r="AD103" s="305">
        <v>13187</v>
      </c>
      <c r="AE103" s="305">
        <v>6</v>
      </c>
      <c r="AF103" s="298">
        <v>19</v>
      </c>
      <c r="AG103" s="303">
        <f t="shared" si="1199"/>
        <v>23392</v>
      </c>
    </row>
    <row r="104" s="202" customFormat="1" ht="15.75">
      <c r="A104" s="308">
        <v>93</v>
      </c>
      <c r="B104" s="306" t="s">
        <v>1224</v>
      </c>
      <c r="C104" s="306" t="s">
        <v>1327</v>
      </c>
      <c r="D104" s="306" t="s">
        <v>1328</v>
      </c>
      <c r="E104" s="309">
        <v>0.69099999999999995</v>
      </c>
      <c r="F104" s="309">
        <v>0.2752</v>
      </c>
      <c r="G104" s="309">
        <v>0.11260000000000001</v>
      </c>
      <c r="H104" s="309">
        <v>7.5200000000000003e-002</v>
      </c>
      <c r="I104" s="309">
        <v>3.1e-002</v>
      </c>
      <c r="J104" s="309">
        <v>2.0299999999999999e-002</v>
      </c>
      <c r="K104" s="309">
        <v>7.6e-003</v>
      </c>
      <c r="L104" s="309">
        <v>0.1797</v>
      </c>
      <c r="M104" s="309">
        <v>7.3999999999999996e-002</v>
      </c>
      <c r="N104" s="309">
        <v>0</v>
      </c>
      <c r="O104" s="309">
        <v>0</v>
      </c>
      <c r="P104" s="309">
        <v>0</v>
      </c>
      <c r="Q104" s="309">
        <v>0</v>
      </c>
      <c r="R104" s="298">
        <f t="shared" si="1191"/>
        <v>1626</v>
      </c>
      <c r="S104" s="298">
        <f t="shared" si="1192"/>
        <v>442</v>
      </c>
      <c r="T104" s="298">
        <f t="shared" si="1193"/>
        <v>127</v>
      </c>
      <c r="U104" s="298">
        <f t="shared" si="1194"/>
        <v>1057</v>
      </c>
      <c r="V104" s="298">
        <f t="shared" si="1195"/>
        <v>0</v>
      </c>
      <c r="W104" s="298">
        <f t="shared" si="1196"/>
        <v>0</v>
      </c>
      <c r="X104" s="303">
        <f t="shared" si="1197"/>
        <v>1626</v>
      </c>
      <c r="Y104" s="303">
        <f t="shared" si="1198"/>
        <v>29108</v>
      </c>
      <c r="Z104" s="304" t="s">
        <v>1322</v>
      </c>
      <c r="AA104" s="305">
        <v>74467</v>
      </c>
      <c r="AB104" s="305">
        <v>27392</v>
      </c>
      <c r="AC104" s="305">
        <v>23993</v>
      </c>
      <c r="AD104" s="305">
        <v>23044</v>
      </c>
      <c r="AE104" s="305">
        <v>38</v>
      </c>
      <c r="AF104" s="298">
        <v>527</v>
      </c>
      <c r="AG104" s="303">
        <f t="shared" si="1199"/>
        <v>74994</v>
      </c>
    </row>
    <row r="105" s="202" customFormat="1" ht="15.75">
      <c r="A105" s="308">
        <v>94</v>
      </c>
      <c r="B105" s="306" t="s">
        <v>1224</v>
      </c>
      <c r="C105" s="306" t="s">
        <v>1327</v>
      </c>
      <c r="D105" s="306" t="s">
        <v>1329</v>
      </c>
      <c r="E105" s="309">
        <v>0.59789999999999999</v>
      </c>
      <c r="F105" s="309">
        <v>0.23999999999999999</v>
      </c>
      <c r="G105" s="309">
        <v>0.16880000000000001</v>
      </c>
      <c r="H105" s="309">
        <v>7.6799999999999993e-002</v>
      </c>
      <c r="I105" s="309">
        <v>5.2999999999999999e-002</v>
      </c>
      <c r="J105" s="309">
        <v>1.0699999999999999e-002</v>
      </c>
      <c r="K105" s="309">
        <v>7.1999999999999998e-003</v>
      </c>
      <c r="L105" s="309">
        <v>0.1525</v>
      </c>
      <c r="M105" s="309">
        <v>0.1086</v>
      </c>
      <c r="N105" s="309">
        <v>0</v>
      </c>
      <c r="O105" s="309">
        <v>0</v>
      </c>
      <c r="P105" s="309">
        <v>2.0000000000000001e-004</v>
      </c>
      <c r="Q105" s="309">
        <v>1.e-004</v>
      </c>
      <c r="R105" s="298">
        <f t="shared" si="1191"/>
        <v>712</v>
      </c>
      <c r="S105" s="298">
        <f t="shared" si="1192"/>
        <v>238</v>
      </c>
      <c r="T105" s="298">
        <f t="shared" si="1193"/>
        <v>35</v>
      </c>
      <c r="U105" s="298">
        <f t="shared" si="1194"/>
        <v>439</v>
      </c>
      <c r="V105" s="298">
        <f t="shared" si="1195"/>
        <v>0</v>
      </c>
      <c r="W105" s="298">
        <f t="shared" si="1196"/>
        <v>1</v>
      </c>
      <c r="X105" s="303">
        <f t="shared" si="1197"/>
        <v>713</v>
      </c>
      <c r="Y105" s="303">
        <f t="shared" si="1198"/>
        <v>33429</v>
      </c>
      <c r="Z105" s="304" t="s">
        <v>1323</v>
      </c>
      <c r="AA105" s="305">
        <v>53938</v>
      </c>
      <c r="AB105" s="305">
        <v>15379</v>
      </c>
      <c r="AC105" s="305">
        <v>24027</v>
      </c>
      <c r="AD105" s="305">
        <v>14511</v>
      </c>
      <c r="AE105" s="305">
        <v>21</v>
      </c>
      <c r="AF105" s="298">
        <v>180</v>
      </c>
      <c r="AG105" s="303">
        <f t="shared" si="1199"/>
        <v>54118</v>
      </c>
    </row>
    <row r="106" s="202" customFormat="1" ht="15.75">
      <c r="A106" s="308">
        <v>95</v>
      </c>
      <c r="B106" s="306" t="s">
        <v>1224</v>
      </c>
      <c r="C106" s="306" t="s">
        <v>1327</v>
      </c>
      <c r="D106" s="306" t="s">
        <v>1330</v>
      </c>
      <c r="E106" s="309">
        <v>0.50590000000000002</v>
      </c>
      <c r="F106" s="309">
        <v>0.19020000000000001</v>
      </c>
      <c r="G106" s="309">
        <v>0.1056</v>
      </c>
      <c r="H106" s="309">
        <v>5.5300000000000002e-002</v>
      </c>
      <c r="I106" s="309">
        <v>2.64e-002</v>
      </c>
      <c r="J106" s="309">
        <v>3.7100000000000001e-002</v>
      </c>
      <c r="K106" s="309">
        <v>1.7299999999999999e-002</v>
      </c>
      <c r="L106" s="309">
        <v>9.7799999999999998e-002</v>
      </c>
      <c r="M106" s="309">
        <v>6.1899999999999997e-002</v>
      </c>
      <c r="N106" s="309">
        <v>0</v>
      </c>
      <c r="O106" s="309">
        <v>0</v>
      </c>
      <c r="P106" s="309">
        <v>4.0000000000000002e-004</v>
      </c>
      <c r="Q106" s="309">
        <v>4.0000000000000002e-004</v>
      </c>
      <c r="R106" s="298">
        <f t="shared" si="1191"/>
        <v>846</v>
      </c>
      <c r="S106" s="298">
        <f t="shared" si="1192"/>
        <v>289</v>
      </c>
      <c r="T106" s="298">
        <f t="shared" si="1193"/>
        <v>198</v>
      </c>
      <c r="U106" s="298">
        <f t="shared" si="1194"/>
        <v>359</v>
      </c>
      <c r="V106" s="298">
        <f t="shared" si="1195"/>
        <v>0</v>
      </c>
      <c r="W106" s="298">
        <f t="shared" si="1196"/>
        <v>0</v>
      </c>
      <c r="X106" s="303">
        <f t="shared" si="1197"/>
        <v>846</v>
      </c>
      <c r="Y106" s="303">
        <f t="shared" si="1198"/>
        <v>18240</v>
      </c>
      <c r="Z106" s="304" t="s">
        <v>1324</v>
      </c>
      <c r="AA106" s="305">
        <v>55009</v>
      </c>
      <c r="AB106" s="305">
        <v>24714</v>
      </c>
      <c r="AC106" s="305">
        <v>9185</v>
      </c>
      <c r="AD106" s="305">
        <v>21087</v>
      </c>
      <c r="AE106" s="305">
        <v>23</v>
      </c>
      <c r="AF106" s="298">
        <v>5</v>
      </c>
      <c r="AG106" s="303">
        <f t="shared" si="1199"/>
        <v>55014</v>
      </c>
    </row>
    <row r="107" s="202" customFormat="1" ht="15.75">
      <c r="A107" s="308">
        <v>96</v>
      </c>
      <c r="B107" s="306" t="s">
        <v>1224</v>
      </c>
      <c r="C107" s="306" t="s">
        <v>1327</v>
      </c>
      <c r="D107" s="306" t="s">
        <v>1331</v>
      </c>
      <c r="E107" s="309">
        <v>0.3634</v>
      </c>
      <c r="F107" s="309">
        <v>0.14410000000000001</v>
      </c>
      <c r="G107" s="309">
        <v>3.0099999999999998e-002</v>
      </c>
      <c r="H107" s="309">
        <v>7.6200000000000004e-002</v>
      </c>
      <c r="I107" s="309">
        <v>1.26e-002</v>
      </c>
      <c r="J107" s="309">
        <v>1.26e-002</v>
      </c>
      <c r="K107" s="309">
        <v>2.8999999999999998e-003</v>
      </c>
      <c r="L107" s="309">
        <v>5.5300000000000002e-002</v>
      </c>
      <c r="M107" s="309">
        <v>1.46e-002</v>
      </c>
      <c r="N107" s="309">
        <v>0</v>
      </c>
      <c r="O107" s="309">
        <v>0</v>
      </c>
      <c r="P107" s="309">
        <v>0</v>
      </c>
      <c r="Q107" s="309">
        <v>0</v>
      </c>
      <c r="R107" s="298">
        <f t="shared" si="1191"/>
        <v>1140</v>
      </c>
      <c r="S107" s="298">
        <f t="shared" si="1192"/>
        <v>636</v>
      </c>
      <c r="T107" s="298">
        <f t="shared" si="1193"/>
        <v>97</v>
      </c>
      <c r="U107" s="298">
        <f t="shared" si="1194"/>
        <v>407</v>
      </c>
      <c r="V107" s="298">
        <f t="shared" si="1195"/>
        <v>0</v>
      </c>
      <c r="W107" s="298">
        <f t="shared" si="1196"/>
        <v>0</v>
      </c>
      <c r="X107" s="303">
        <f t="shared" si="1197"/>
        <v>1140</v>
      </c>
      <c r="Y107" s="303">
        <f t="shared" si="1198"/>
        <v>36364</v>
      </c>
      <c r="Z107" s="304" t="s">
        <v>1325</v>
      </c>
      <c r="AA107" s="305">
        <v>45567</v>
      </c>
      <c r="AB107" s="305">
        <v>19325</v>
      </c>
      <c r="AC107" s="305">
        <v>8916</v>
      </c>
      <c r="AD107" s="305">
        <v>17311</v>
      </c>
      <c r="AE107" s="305">
        <v>15</v>
      </c>
      <c r="AF107" s="298">
        <v>175</v>
      </c>
      <c r="AG107" s="303">
        <f t="shared" si="1199"/>
        <v>45742</v>
      </c>
    </row>
    <row r="108" s="202" customFormat="1" ht="15.75">
      <c r="A108" s="308">
        <v>97</v>
      </c>
      <c r="B108" s="306" t="s">
        <v>1224</v>
      </c>
      <c r="C108" s="306" t="s">
        <v>1327</v>
      </c>
      <c r="D108" s="306" t="s">
        <v>1332</v>
      </c>
      <c r="E108" s="309">
        <v>1.3110999999999999</v>
      </c>
      <c r="F108" s="309">
        <v>0.49569999999999997</v>
      </c>
      <c r="G108" s="309">
        <v>0.12970000000000001</v>
      </c>
      <c r="H108" s="309">
        <v>0.14419999999999999</v>
      </c>
      <c r="I108" s="309">
        <v>2.9000000000000001e-002</v>
      </c>
      <c r="J108" s="309">
        <v>7.5300000000000006e-002</v>
      </c>
      <c r="K108" s="309">
        <v>1.9e-002</v>
      </c>
      <c r="L108" s="309">
        <v>0.27610000000000001</v>
      </c>
      <c r="M108" s="309">
        <v>8.1600000000000006e-002</v>
      </c>
      <c r="N108" s="309">
        <v>1.e-004</v>
      </c>
      <c r="O108" s="309">
        <v>1.e-004</v>
      </c>
      <c r="P108" s="309">
        <v>5.9999999999999995e-004</v>
      </c>
      <c r="Q108" s="309">
        <v>1.e-004</v>
      </c>
      <c r="R108" s="298">
        <f t="shared" si="1191"/>
        <v>3660</v>
      </c>
      <c r="S108" s="298">
        <f t="shared" si="1192"/>
        <v>1152</v>
      </c>
      <c r="T108" s="298">
        <f t="shared" si="1193"/>
        <v>563</v>
      </c>
      <c r="U108" s="298">
        <f t="shared" si="1194"/>
        <v>1945</v>
      </c>
      <c r="V108" s="298">
        <f t="shared" si="1195"/>
        <v>0</v>
      </c>
      <c r="W108" s="298">
        <f t="shared" si="1196"/>
        <v>5</v>
      </c>
      <c r="X108" s="303">
        <f t="shared" si="1197"/>
        <v>3665</v>
      </c>
      <c r="Y108" s="303">
        <f t="shared" si="1198"/>
        <v>48669</v>
      </c>
      <c r="Z108" s="304" t="s">
        <v>1326</v>
      </c>
      <c r="AA108" s="305">
        <v>6757</v>
      </c>
      <c r="AB108" s="305">
        <v>1912</v>
      </c>
      <c r="AC108" s="305">
        <v>511</v>
      </c>
      <c r="AD108" s="305">
        <v>4325</v>
      </c>
      <c r="AE108" s="305">
        <v>9</v>
      </c>
      <c r="AF108" s="298">
        <v>1</v>
      </c>
      <c r="AG108" s="303">
        <f t="shared" si="1199"/>
        <v>6758</v>
      </c>
    </row>
    <row r="109" s="202" customFormat="1" ht="15.75">
      <c r="A109" s="308">
        <v>98</v>
      </c>
      <c r="B109" s="306" t="s">
        <v>1224</v>
      </c>
      <c r="C109" s="306" t="s">
        <v>1327</v>
      </c>
      <c r="D109" s="306" t="s">
        <v>1333</v>
      </c>
      <c r="E109" s="309">
        <v>1.0786</v>
      </c>
      <c r="F109" s="309">
        <v>0.34670000000000001</v>
      </c>
      <c r="G109" s="309">
        <v>0.15670000000000001</v>
      </c>
      <c r="H109" s="309">
        <v>0.16850000000000001</v>
      </c>
      <c r="I109" s="309">
        <v>6.7799999999999999e-002</v>
      </c>
      <c r="J109" s="309">
        <v>2.6700000000000002e-002</v>
      </c>
      <c r="K109" s="309">
        <v>1.0200000000000001e-002</v>
      </c>
      <c r="L109" s="309">
        <v>0.1515</v>
      </c>
      <c r="M109" s="309">
        <v>7.8700000000000006e-002</v>
      </c>
      <c r="N109" s="309">
        <v>0</v>
      </c>
      <c r="O109" s="309">
        <v>0</v>
      </c>
      <c r="P109" s="309">
        <v>1.e-004</v>
      </c>
      <c r="Q109" s="309">
        <v>1.e-004</v>
      </c>
      <c r="R109" s="298">
        <f t="shared" si="1191"/>
        <v>1900</v>
      </c>
      <c r="S109" s="298">
        <f t="shared" si="1192"/>
        <v>1007</v>
      </c>
      <c r="T109" s="298">
        <f t="shared" si="1193"/>
        <v>165</v>
      </c>
      <c r="U109" s="298">
        <f t="shared" si="1194"/>
        <v>728</v>
      </c>
      <c r="V109" s="298">
        <f t="shared" si="1195"/>
        <v>0</v>
      </c>
      <c r="W109" s="298">
        <f t="shared" si="1196"/>
        <v>0</v>
      </c>
      <c r="X109" s="303">
        <f t="shared" si="1197"/>
        <v>1900</v>
      </c>
      <c r="Y109" s="303">
        <f t="shared" ref="Y109:Y138" si="1200">VLOOKUP(D109,$Z:$AG,8,0)</f>
        <v>38298</v>
      </c>
      <c r="Z109" s="304" t="s">
        <v>1328</v>
      </c>
      <c r="AA109" s="305">
        <v>29108</v>
      </c>
      <c r="AB109" s="305">
        <v>10217</v>
      </c>
      <c r="AC109" s="305">
        <v>2307</v>
      </c>
      <c r="AD109" s="305">
        <v>16578</v>
      </c>
      <c r="AE109" s="305">
        <v>6</v>
      </c>
      <c r="AF109" s="298">
        <v>0</v>
      </c>
      <c r="AG109" s="303">
        <f t="shared" si="1199"/>
        <v>29108</v>
      </c>
    </row>
    <row r="110" s="202" customFormat="1" ht="15.75">
      <c r="A110" s="308">
        <v>99</v>
      </c>
      <c r="B110" s="306" t="s">
        <v>1224</v>
      </c>
      <c r="C110" s="306" t="s">
        <v>1327</v>
      </c>
      <c r="D110" s="306" t="s">
        <v>1334</v>
      </c>
      <c r="E110" s="309">
        <v>2.0928</v>
      </c>
      <c r="F110" s="309">
        <v>0.77890000000000004</v>
      </c>
      <c r="G110" s="309">
        <v>0.3226</v>
      </c>
      <c r="H110" s="309">
        <v>0.45100000000000001</v>
      </c>
      <c r="I110" s="309">
        <v>0.15260000000000001</v>
      </c>
      <c r="J110" s="309">
        <v>3.6200000000000003e-002</v>
      </c>
      <c r="K110" s="309">
        <v>1.2500000000000001e-002</v>
      </c>
      <c r="L110" s="309">
        <v>0.29170000000000001</v>
      </c>
      <c r="M110" s="309">
        <v>0.1575</v>
      </c>
      <c r="N110" s="309">
        <v>0</v>
      </c>
      <c r="O110" s="309">
        <v>0</v>
      </c>
      <c r="P110" s="309">
        <v>0</v>
      </c>
      <c r="Q110" s="309">
        <v>0</v>
      </c>
      <c r="R110" s="298">
        <f t="shared" si="1191"/>
        <v>4563</v>
      </c>
      <c r="S110" s="298">
        <f t="shared" si="1192"/>
        <v>2984</v>
      </c>
      <c r="T110" s="298">
        <f t="shared" si="1193"/>
        <v>237</v>
      </c>
      <c r="U110" s="298">
        <f t="shared" si="1194"/>
        <v>1342</v>
      </c>
      <c r="V110" s="298">
        <f t="shared" si="1195"/>
        <v>0</v>
      </c>
      <c r="W110" s="298">
        <f t="shared" si="1196"/>
        <v>0</v>
      </c>
      <c r="X110" s="303">
        <f t="shared" si="1197"/>
        <v>4563</v>
      </c>
      <c r="Y110" s="303">
        <f t="shared" si="1200"/>
        <v>80967</v>
      </c>
      <c r="Z110" s="304" t="s">
        <v>1329</v>
      </c>
      <c r="AA110" s="305">
        <v>33398</v>
      </c>
      <c r="AB110" s="305">
        <v>15191</v>
      </c>
      <c r="AC110" s="305">
        <v>2125</v>
      </c>
      <c r="AD110" s="305">
        <v>16082</v>
      </c>
      <c r="AE110" s="305">
        <v>0</v>
      </c>
      <c r="AF110" s="298">
        <v>31</v>
      </c>
      <c r="AG110" s="303">
        <f t="shared" si="1199"/>
        <v>33429</v>
      </c>
    </row>
    <row r="111" s="202" customFormat="1" ht="15.75">
      <c r="A111" s="308">
        <v>100</v>
      </c>
      <c r="B111" s="306" t="s">
        <v>1224</v>
      </c>
      <c r="C111" s="306" t="s">
        <v>1327</v>
      </c>
      <c r="D111" s="306" t="s">
        <v>1335</v>
      </c>
      <c r="E111" s="309">
        <v>0.4133</v>
      </c>
      <c r="F111" s="309">
        <v>0.1457</v>
      </c>
      <c r="G111" s="309">
        <v>9.0999999999999998e-002</v>
      </c>
      <c r="H111" s="309">
        <v>8.0199999999999994e-002</v>
      </c>
      <c r="I111" s="309">
        <v>4.7699999999999999e-002</v>
      </c>
      <c r="J111" s="309">
        <v>4.1000000000000003e-003</v>
      </c>
      <c r="K111" s="309">
        <v>2.7000000000000001e-003</v>
      </c>
      <c r="L111" s="309">
        <v>6.1400000000000003e-002</v>
      </c>
      <c r="M111" s="309">
        <v>4.0599999999999997e-002</v>
      </c>
      <c r="N111" s="309">
        <v>0</v>
      </c>
      <c r="O111" s="309">
        <v>0</v>
      </c>
      <c r="P111" s="309">
        <v>0</v>
      </c>
      <c r="Q111" s="309">
        <v>0</v>
      </c>
      <c r="R111" s="298">
        <f t="shared" si="1191"/>
        <v>547</v>
      </c>
      <c r="S111" s="298">
        <f t="shared" si="1192"/>
        <v>325</v>
      </c>
      <c r="T111" s="298">
        <f t="shared" si="1193"/>
        <v>14</v>
      </c>
      <c r="U111" s="298">
        <f t="shared" si="1194"/>
        <v>208</v>
      </c>
      <c r="V111" s="298">
        <f t="shared" si="1195"/>
        <v>0</v>
      </c>
      <c r="W111" s="298">
        <f t="shared" si="1196"/>
        <v>0</v>
      </c>
      <c r="X111" s="303">
        <f t="shared" si="1197"/>
        <v>547</v>
      </c>
      <c r="Y111" s="303">
        <f t="shared" si="1200"/>
        <v>31455</v>
      </c>
      <c r="Z111" s="304" t="s">
        <v>1330</v>
      </c>
      <c r="AA111" s="305">
        <v>18233</v>
      </c>
      <c r="AB111" s="305">
        <v>7005</v>
      </c>
      <c r="AC111" s="305">
        <v>3745</v>
      </c>
      <c r="AD111" s="305">
        <v>7480</v>
      </c>
      <c r="AE111" s="305">
        <v>3</v>
      </c>
      <c r="AF111" s="298">
        <v>7</v>
      </c>
      <c r="AG111" s="303">
        <f t="shared" si="1199"/>
        <v>18240</v>
      </c>
    </row>
    <row r="112" s="202" customFormat="1" ht="15.75">
      <c r="A112" s="308">
        <v>101</v>
      </c>
      <c r="B112" s="306" t="s">
        <v>1224</v>
      </c>
      <c r="C112" s="306" t="s">
        <v>1336</v>
      </c>
      <c r="D112" s="306" t="s">
        <v>1337</v>
      </c>
      <c r="E112" s="309">
        <v>0.20630000000000001</v>
      </c>
      <c r="F112" s="309">
        <v>8.0199999999999994e-002</v>
      </c>
      <c r="G112" s="309">
        <v>4.3299999999999998e-002</v>
      </c>
      <c r="H112" s="309">
        <v>1.5e-003</v>
      </c>
      <c r="I112" s="309">
        <v>8.9999999999999998e-004</v>
      </c>
      <c r="J112" s="309">
        <v>1.e-003</v>
      </c>
      <c r="K112" s="309">
        <v>6.9999999999999999e-004</v>
      </c>
      <c r="L112" s="309">
        <v>7.7700000000000005e-002</v>
      </c>
      <c r="M112" s="309">
        <v>4.1700000000000001e-002</v>
      </c>
      <c r="N112" s="309">
        <v>0</v>
      </c>
      <c r="O112" s="309">
        <v>0</v>
      </c>
      <c r="P112" s="309">
        <v>1.e-004</v>
      </c>
      <c r="Q112" s="309">
        <v>1.e-004</v>
      </c>
      <c r="R112" s="298">
        <f t="shared" si="1191"/>
        <v>369</v>
      </c>
      <c r="S112" s="298">
        <f t="shared" si="1192"/>
        <v>6</v>
      </c>
      <c r="T112" s="298">
        <f t="shared" si="1193"/>
        <v>3</v>
      </c>
      <c r="U112" s="298">
        <f t="shared" si="1194"/>
        <v>360</v>
      </c>
      <c r="V112" s="298">
        <f t="shared" si="1195"/>
        <v>0</v>
      </c>
      <c r="W112" s="298">
        <f t="shared" si="1196"/>
        <v>0</v>
      </c>
      <c r="X112" s="303">
        <f t="shared" si="1197"/>
        <v>369</v>
      </c>
      <c r="Y112" s="303">
        <f t="shared" si="1200"/>
        <v>8259</v>
      </c>
      <c r="Z112" s="304" t="s">
        <v>1331</v>
      </c>
      <c r="AA112" s="305">
        <v>36364</v>
      </c>
      <c r="AB112" s="305">
        <v>19577</v>
      </c>
      <c r="AC112" s="305">
        <v>4786</v>
      </c>
      <c r="AD112" s="305">
        <v>12001</v>
      </c>
      <c r="AE112" s="305">
        <v>0</v>
      </c>
      <c r="AF112" s="298">
        <v>0</v>
      </c>
      <c r="AG112" s="303">
        <f t="shared" si="1199"/>
        <v>36364</v>
      </c>
    </row>
    <row r="113" s="202" customFormat="1" ht="15.75">
      <c r="A113" s="308">
        <v>102</v>
      </c>
      <c r="B113" s="306" t="s">
        <v>1224</v>
      </c>
      <c r="C113" s="306" t="s">
        <v>1336</v>
      </c>
      <c r="D113" s="306" t="s">
        <v>1338</v>
      </c>
      <c r="E113" s="309">
        <v>0.35110000000000002</v>
      </c>
      <c r="F113" s="309">
        <v>7.0000000000000007e-002</v>
      </c>
      <c r="G113" s="309">
        <v>3.09e-002</v>
      </c>
      <c r="H113" s="309">
        <v>3.0000000000000001e-003</v>
      </c>
      <c r="I113" s="309">
        <v>6.9999999999999999e-004</v>
      </c>
      <c r="J113" s="309">
        <v>4.1999999999999997e-003</v>
      </c>
      <c r="K113" s="309">
        <v>1.1000000000000001e-003</v>
      </c>
      <c r="L113" s="309">
        <v>6.2799999999999995e-002</v>
      </c>
      <c r="M113" s="309">
        <v>2.9100000000000001e-002</v>
      </c>
      <c r="N113" s="309">
        <v>0</v>
      </c>
      <c r="O113" s="309">
        <v>0</v>
      </c>
      <c r="P113" s="309">
        <v>1.e-004</v>
      </c>
      <c r="Q113" s="309">
        <v>0</v>
      </c>
      <c r="R113" s="298">
        <f t="shared" si="1191"/>
        <v>391</v>
      </c>
      <c r="S113" s="298">
        <f t="shared" si="1192"/>
        <v>23</v>
      </c>
      <c r="T113" s="298">
        <f t="shared" si="1193"/>
        <v>31</v>
      </c>
      <c r="U113" s="298">
        <f t="shared" si="1194"/>
        <v>337</v>
      </c>
      <c r="V113" s="298">
        <f t="shared" si="1195"/>
        <v>0</v>
      </c>
      <c r="W113" s="298">
        <f t="shared" si="1196"/>
        <v>1</v>
      </c>
      <c r="X113" s="303">
        <f t="shared" si="1197"/>
        <v>392</v>
      </c>
      <c r="Y113" s="303">
        <f t="shared" si="1200"/>
        <v>10520</v>
      </c>
      <c r="Z113" s="304" t="s">
        <v>1332</v>
      </c>
      <c r="AA113" s="305">
        <v>48616</v>
      </c>
      <c r="AB113" s="305">
        <v>17480</v>
      </c>
      <c r="AC113" s="305">
        <v>8266</v>
      </c>
      <c r="AD113" s="305">
        <v>22859</v>
      </c>
      <c r="AE113" s="305">
        <v>11</v>
      </c>
      <c r="AF113" s="298">
        <v>53</v>
      </c>
      <c r="AG113" s="303">
        <f t="shared" si="1199"/>
        <v>48669</v>
      </c>
    </row>
    <row r="114" s="202" customFormat="1" ht="15.75">
      <c r="A114" s="308">
        <v>103</v>
      </c>
      <c r="B114" s="306" t="s">
        <v>1224</v>
      </c>
      <c r="C114" s="306" t="s">
        <v>1336</v>
      </c>
      <c r="D114" s="306" t="s">
        <v>1339</v>
      </c>
      <c r="E114" s="309">
        <v>0.30059999999999998</v>
      </c>
      <c r="F114" s="309">
        <v>0.10730000000000001</v>
      </c>
      <c r="G114" s="309">
        <v>5.7500000000000002e-002</v>
      </c>
      <c r="H114" s="309">
        <v>2.3e-003</v>
      </c>
      <c r="I114" s="309">
        <v>1.6000000000000001e-003</v>
      </c>
      <c r="J114" s="309">
        <v>6.0000000000000001e-003</v>
      </c>
      <c r="K114" s="309">
        <v>3.3e-003</v>
      </c>
      <c r="L114" s="309">
        <v>9.8900000000000002e-002</v>
      </c>
      <c r="M114" s="309">
        <v>5.2499999999999998e-002</v>
      </c>
      <c r="N114" s="309">
        <v>1.e-004</v>
      </c>
      <c r="O114" s="309">
        <v>1.e-004</v>
      </c>
      <c r="P114" s="309">
        <v>0</v>
      </c>
      <c r="Q114" s="309">
        <v>0</v>
      </c>
      <c r="R114" s="298">
        <f t="shared" si="1191"/>
        <v>498</v>
      </c>
      <c r="S114" s="298">
        <f t="shared" si="1192"/>
        <v>7</v>
      </c>
      <c r="T114" s="298">
        <f t="shared" si="1193"/>
        <v>27</v>
      </c>
      <c r="U114" s="298">
        <f t="shared" si="1194"/>
        <v>464</v>
      </c>
      <c r="V114" s="298">
        <f t="shared" si="1195"/>
        <v>0</v>
      </c>
      <c r="W114" s="298">
        <f t="shared" si="1196"/>
        <v>0</v>
      </c>
      <c r="X114" s="303">
        <f t="shared" si="1197"/>
        <v>498</v>
      </c>
      <c r="Y114" s="303">
        <f t="shared" si="1200"/>
        <v>11338</v>
      </c>
      <c r="Z114" s="304" t="s">
        <v>1333</v>
      </c>
      <c r="AA114" s="305">
        <v>38279</v>
      </c>
      <c r="AB114" s="305">
        <v>21626</v>
      </c>
      <c r="AC114" s="305">
        <v>2726</v>
      </c>
      <c r="AD114" s="305">
        <v>13924</v>
      </c>
      <c r="AE114" s="305">
        <v>3</v>
      </c>
      <c r="AF114" s="298">
        <v>19</v>
      </c>
      <c r="AG114" s="303">
        <f t="shared" si="1199"/>
        <v>38298</v>
      </c>
    </row>
    <row r="115" s="202" customFormat="1" ht="15.75">
      <c r="A115" s="308">
        <v>104</v>
      </c>
      <c r="B115" s="306" t="s">
        <v>1224</v>
      </c>
      <c r="C115" s="306" t="s">
        <v>1340</v>
      </c>
      <c r="D115" s="306" t="s">
        <v>1341</v>
      </c>
      <c r="E115" s="309">
        <v>8.8999999999999996e-002</v>
      </c>
      <c r="F115" s="309">
        <v>3.95e-002</v>
      </c>
      <c r="G115" s="309">
        <v>1.4999999999999999e-002</v>
      </c>
      <c r="H115" s="309">
        <v>2.3999999999999998e-003</v>
      </c>
      <c r="I115" s="309">
        <v>5.9999999999999995e-004</v>
      </c>
      <c r="J115" s="309">
        <v>2.7000000000000001e-003</v>
      </c>
      <c r="K115" s="309">
        <v>1.1999999999999999e-003</v>
      </c>
      <c r="L115" s="309">
        <v>3.44e-002</v>
      </c>
      <c r="M115" s="309">
        <v>1.32e-002</v>
      </c>
      <c r="N115" s="309">
        <v>0</v>
      </c>
      <c r="O115" s="309">
        <v>0</v>
      </c>
      <c r="P115" s="309">
        <v>2.0000000000000001e-004</v>
      </c>
      <c r="Q115" s="309">
        <v>0</v>
      </c>
      <c r="R115" s="298">
        <f t="shared" si="1191"/>
        <v>245</v>
      </c>
      <c r="S115" s="298">
        <f t="shared" si="1192"/>
        <v>18</v>
      </c>
      <c r="T115" s="298">
        <f t="shared" si="1193"/>
        <v>15</v>
      </c>
      <c r="U115" s="298">
        <f t="shared" si="1194"/>
        <v>212</v>
      </c>
      <c r="V115" s="298">
        <f t="shared" si="1195"/>
        <v>0</v>
      </c>
      <c r="W115" s="298">
        <f t="shared" si="1196"/>
        <v>2</v>
      </c>
      <c r="X115" s="303">
        <f t="shared" si="1197"/>
        <v>247</v>
      </c>
      <c r="Y115" s="303">
        <f t="shared" si="1200"/>
        <v>8961</v>
      </c>
      <c r="Z115" s="304" t="s">
        <v>1334</v>
      </c>
      <c r="AA115" s="305">
        <v>80961</v>
      </c>
      <c r="AB115" s="305">
        <v>51559</v>
      </c>
      <c r="AC115" s="305">
        <v>3378</v>
      </c>
      <c r="AD115" s="305">
        <v>26023</v>
      </c>
      <c r="AE115" s="305">
        <v>1</v>
      </c>
      <c r="AF115" s="298">
        <v>6</v>
      </c>
      <c r="AG115" s="303">
        <f t="shared" si="1199"/>
        <v>80967</v>
      </c>
    </row>
    <row r="116" s="202" customFormat="1" ht="15.75">
      <c r="A116" s="308">
        <v>105</v>
      </c>
      <c r="B116" s="306" t="s">
        <v>1224</v>
      </c>
      <c r="C116" s="306" t="s">
        <v>1340</v>
      </c>
      <c r="D116" s="306" t="s">
        <v>1342</v>
      </c>
      <c r="E116" s="309">
        <v>0.2137</v>
      </c>
      <c r="F116" s="309">
        <v>7.6499999999999999e-002</v>
      </c>
      <c r="G116" s="309">
        <v>2.9999999999999999e-002</v>
      </c>
      <c r="H116" s="309">
        <v>6.7999999999999996e-003</v>
      </c>
      <c r="I116" s="309">
        <v>3.3e-003</v>
      </c>
      <c r="J116" s="309">
        <v>1.e-002</v>
      </c>
      <c r="K116" s="309">
        <v>4.7000000000000002e-003</v>
      </c>
      <c r="L116" s="309">
        <v>5.96e-002</v>
      </c>
      <c r="M116" s="309">
        <v>2.1999999999999999e-002</v>
      </c>
      <c r="N116" s="309">
        <v>1.e-004</v>
      </c>
      <c r="O116" s="309">
        <v>0</v>
      </c>
      <c r="P116" s="309">
        <v>0</v>
      </c>
      <c r="Q116" s="309">
        <v>0</v>
      </c>
      <c r="R116" s="298">
        <f t="shared" si="1191"/>
        <v>465</v>
      </c>
      <c r="S116" s="298">
        <f t="shared" si="1192"/>
        <v>35</v>
      </c>
      <c r="T116" s="298">
        <f t="shared" si="1193"/>
        <v>53</v>
      </c>
      <c r="U116" s="298">
        <f t="shared" si="1194"/>
        <v>376</v>
      </c>
      <c r="V116" s="298">
        <f t="shared" si="1195"/>
        <v>1</v>
      </c>
      <c r="W116" s="298">
        <f t="shared" si="1196"/>
        <v>0</v>
      </c>
      <c r="X116" s="303">
        <f t="shared" si="1197"/>
        <v>465</v>
      </c>
      <c r="Y116" s="303">
        <f t="shared" si="1200"/>
        <v>7104</v>
      </c>
      <c r="Z116" s="304" t="s">
        <v>1335</v>
      </c>
      <c r="AA116" s="305">
        <v>31453</v>
      </c>
      <c r="AB116" s="305">
        <v>19407</v>
      </c>
      <c r="AC116" s="305">
        <v>1143</v>
      </c>
      <c r="AD116" s="305">
        <v>10900</v>
      </c>
      <c r="AE116" s="305">
        <v>3</v>
      </c>
      <c r="AF116" s="298">
        <v>2</v>
      </c>
      <c r="AG116" s="303">
        <f t="shared" si="1199"/>
        <v>31455</v>
      </c>
    </row>
    <row r="117" s="202" customFormat="1" ht="15.75">
      <c r="A117" s="308">
        <v>106</v>
      </c>
      <c r="B117" s="306" t="s">
        <v>1224</v>
      </c>
      <c r="C117" s="306" t="s">
        <v>1340</v>
      </c>
      <c r="D117" s="306" t="s">
        <v>1343</v>
      </c>
      <c r="E117" s="309">
        <v>0.14560000000000001</v>
      </c>
      <c r="F117" s="309">
        <v>3.6600000000000001e-002</v>
      </c>
      <c r="G117" s="309">
        <v>4.1000000000000003e-003</v>
      </c>
      <c r="H117" s="309">
        <v>4.8999999999999998e-003</v>
      </c>
      <c r="I117" s="309">
        <v>2.9999999999999997e-004</v>
      </c>
      <c r="J117" s="309">
        <v>5.4999999999999997e-003</v>
      </c>
      <c r="K117" s="309">
        <v>5.9999999999999995e-004</v>
      </c>
      <c r="L117" s="309">
        <v>2.6200000000000001e-002</v>
      </c>
      <c r="M117" s="309">
        <v>3.2000000000000002e-003</v>
      </c>
      <c r="N117" s="309">
        <v>0</v>
      </c>
      <c r="O117" s="309">
        <v>0</v>
      </c>
      <c r="P117" s="309">
        <v>4.0000000000000002e-004</v>
      </c>
      <c r="Q117" s="309">
        <v>4.0000000000000002e-004</v>
      </c>
      <c r="R117" s="298">
        <f t="shared" si="1191"/>
        <v>325</v>
      </c>
      <c r="S117" s="298">
        <f t="shared" si="1192"/>
        <v>46</v>
      </c>
      <c r="T117" s="298">
        <f t="shared" si="1193"/>
        <v>49</v>
      </c>
      <c r="U117" s="298">
        <f t="shared" si="1194"/>
        <v>230</v>
      </c>
      <c r="V117" s="298">
        <f t="shared" si="1195"/>
        <v>0</v>
      </c>
      <c r="W117" s="298">
        <f t="shared" si="1196"/>
        <v>0</v>
      </c>
      <c r="X117" s="303">
        <f t="shared" si="1197"/>
        <v>325</v>
      </c>
      <c r="Y117" s="303">
        <f t="shared" si="1200"/>
        <v>10090</v>
      </c>
      <c r="Z117" s="304" t="s">
        <v>1337</v>
      </c>
      <c r="AA117" s="305">
        <v>8257</v>
      </c>
      <c r="AB117" s="305">
        <v>121</v>
      </c>
      <c r="AC117" s="305">
        <v>101</v>
      </c>
      <c r="AD117" s="305">
        <v>8035</v>
      </c>
      <c r="AE117" s="305">
        <v>0</v>
      </c>
      <c r="AF117" s="298">
        <v>2</v>
      </c>
      <c r="AG117" s="303">
        <f t="shared" si="1199"/>
        <v>8259</v>
      </c>
    </row>
    <row r="118" s="202" customFormat="1" ht="15.75">
      <c r="A118" s="308">
        <v>107</v>
      </c>
      <c r="B118" s="306" t="s">
        <v>1224</v>
      </c>
      <c r="C118" s="306" t="s">
        <v>1340</v>
      </c>
      <c r="D118" s="306" t="s">
        <v>1344</v>
      </c>
      <c r="E118" s="309">
        <v>0.31390000000000001</v>
      </c>
      <c r="F118" s="309">
        <v>0.1217</v>
      </c>
      <c r="G118" s="309">
        <v>0.1133</v>
      </c>
      <c r="H118" s="309">
        <v>7.3000000000000001e-003</v>
      </c>
      <c r="I118" s="309">
        <v>6.4999999999999997e-003</v>
      </c>
      <c r="J118" s="309">
        <v>6.0000000000000001e-003</v>
      </c>
      <c r="K118" s="309">
        <v>5.1000000000000004e-003</v>
      </c>
      <c r="L118" s="309">
        <v>0.1084</v>
      </c>
      <c r="M118" s="309">
        <v>0.1017</v>
      </c>
      <c r="N118" s="309">
        <v>0</v>
      </c>
      <c r="O118" s="309">
        <v>0</v>
      </c>
      <c r="P118" s="309">
        <v>0</v>
      </c>
      <c r="Q118" s="309">
        <v>0</v>
      </c>
      <c r="R118" s="298">
        <f t="shared" si="1191"/>
        <v>84</v>
      </c>
      <c r="S118" s="298">
        <f t="shared" si="1192"/>
        <v>8</v>
      </c>
      <c r="T118" s="298">
        <f t="shared" si="1193"/>
        <v>9</v>
      </c>
      <c r="U118" s="298">
        <f t="shared" si="1194"/>
        <v>67</v>
      </c>
      <c r="V118" s="298">
        <f t="shared" si="1195"/>
        <v>0</v>
      </c>
      <c r="W118" s="298">
        <f t="shared" si="1196"/>
        <v>0</v>
      </c>
      <c r="X118" s="303">
        <f t="shared" si="1197"/>
        <v>84</v>
      </c>
      <c r="Y118" s="303">
        <f t="shared" si="1200"/>
        <v>17823</v>
      </c>
      <c r="Z118" s="304" t="s">
        <v>1338</v>
      </c>
      <c r="AA118" s="305">
        <v>10510</v>
      </c>
      <c r="AB118" s="305">
        <v>414</v>
      </c>
      <c r="AC118" s="305">
        <v>926</v>
      </c>
      <c r="AD118" s="305">
        <v>9170</v>
      </c>
      <c r="AE118" s="305">
        <v>0</v>
      </c>
      <c r="AF118" s="298">
        <v>10</v>
      </c>
      <c r="AG118" s="303">
        <f t="shared" si="1199"/>
        <v>10520</v>
      </c>
    </row>
    <row r="119" s="202" customFormat="1" ht="15.75">
      <c r="A119" s="308">
        <v>108</v>
      </c>
      <c r="B119" s="306" t="s">
        <v>1224</v>
      </c>
      <c r="C119" s="306" t="s">
        <v>1340</v>
      </c>
      <c r="D119" s="306" t="s">
        <v>1345</v>
      </c>
      <c r="E119" s="309">
        <v>0.77149999999999996</v>
      </c>
      <c r="F119" s="309">
        <v>0.29680000000000001</v>
      </c>
      <c r="G119" s="309">
        <v>0.1671</v>
      </c>
      <c r="H119" s="309">
        <v>6.0499999999999998e-002</v>
      </c>
      <c r="I119" s="309">
        <v>3.2199999999999999e-002</v>
      </c>
      <c r="J119" s="309">
        <v>8.4400000000000003e-002</v>
      </c>
      <c r="K119" s="309">
        <v>4.5199999999999997e-002</v>
      </c>
      <c r="L119" s="309">
        <v>0.15190000000000001</v>
      </c>
      <c r="M119" s="309">
        <v>8.9700000000000002e-002</v>
      </c>
      <c r="N119" s="309">
        <v>0</v>
      </c>
      <c r="O119" s="309">
        <v>0</v>
      </c>
      <c r="P119" s="309">
        <v>0</v>
      </c>
      <c r="Q119" s="309">
        <v>0</v>
      </c>
      <c r="R119" s="298">
        <f t="shared" si="1191"/>
        <v>1297</v>
      </c>
      <c r="S119" s="298">
        <f t="shared" si="1192"/>
        <v>283</v>
      </c>
      <c r="T119" s="298">
        <f t="shared" si="1193"/>
        <v>392</v>
      </c>
      <c r="U119" s="298">
        <f t="shared" si="1194"/>
        <v>622</v>
      </c>
      <c r="V119" s="298">
        <f t="shared" si="1195"/>
        <v>0</v>
      </c>
      <c r="W119" s="298">
        <f t="shared" si="1196"/>
        <v>0</v>
      </c>
      <c r="X119" s="303">
        <f t="shared" si="1197"/>
        <v>1297</v>
      </c>
      <c r="Y119" s="303">
        <f t="shared" si="1200"/>
        <v>33854</v>
      </c>
      <c r="Z119" s="304" t="s">
        <v>1339</v>
      </c>
      <c r="AA119" s="305">
        <v>11336</v>
      </c>
      <c r="AB119" s="305">
        <v>277</v>
      </c>
      <c r="AC119" s="305">
        <v>743</v>
      </c>
      <c r="AD119" s="305">
        <v>10311</v>
      </c>
      <c r="AE119" s="305">
        <v>5</v>
      </c>
      <c r="AF119" s="298">
        <v>2</v>
      </c>
      <c r="AG119" s="303">
        <f t="shared" si="1199"/>
        <v>11338</v>
      </c>
    </row>
    <row r="120" s="202" customFormat="1" ht="15.75">
      <c r="A120" s="308">
        <v>109</v>
      </c>
      <c r="B120" s="306" t="s">
        <v>1224</v>
      </c>
      <c r="C120" s="306" t="s">
        <v>1340</v>
      </c>
      <c r="D120" s="306" t="s">
        <v>1346</v>
      </c>
      <c r="E120" s="309">
        <v>0.64559999999999995</v>
      </c>
      <c r="F120" s="309">
        <v>0.24579999999999999</v>
      </c>
      <c r="G120" s="309">
        <v>0.1173</v>
      </c>
      <c r="H120" s="309">
        <v>4.6199999999999998e-002</v>
      </c>
      <c r="I120" s="309">
        <v>1.9599999999999999e-002</v>
      </c>
      <c r="J120" s="309">
        <v>8.9800000000000005e-002</v>
      </c>
      <c r="K120" s="309">
        <v>3.85e-002</v>
      </c>
      <c r="L120" s="309">
        <v>0.10970000000000001</v>
      </c>
      <c r="M120" s="309">
        <v>5.9200000000000003e-002</v>
      </c>
      <c r="N120" s="309">
        <v>1.e-004</v>
      </c>
      <c r="O120" s="309">
        <v>0</v>
      </c>
      <c r="P120" s="309">
        <v>6.9999999999999999e-004</v>
      </c>
      <c r="Q120" s="309">
        <v>6.9999999999999999e-004</v>
      </c>
      <c r="R120" s="298">
        <f t="shared" si="1191"/>
        <v>1285</v>
      </c>
      <c r="S120" s="298">
        <f t="shared" si="1192"/>
        <v>266</v>
      </c>
      <c r="T120" s="298">
        <f t="shared" si="1193"/>
        <v>513</v>
      </c>
      <c r="U120" s="298">
        <f t="shared" si="1194"/>
        <v>505</v>
      </c>
      <c r="V120" s="298">
        <f t="shared" si="1195"/>
        <v>1</v>
      </c>
      <c r="W120" s="298">
        <f t="shared" si="1196"/>
        <v>0</v>
      </c>
      <c r="X120" s="303">
        <f t="shared" si="1197"/>
        <v>1285</v>
      </c>
      <c r="Y120" s="303">
        <f t="shared" si="1200"/>
        <v>28871</v>
      </c>
      <c r="Z120" s="304" t="s">
        <v>1341</v>
      </c>
      <c r="AA120" s="305">
        <v>8932</v>
      </c>
      <c r="AB120" s="305">
        <v>672</v>
      </c>
      <c r="AC120" s="305">
        <v>785</v>
      </c>
      <c r="AD120" s="305">
        <v>7474</v>
      </c>
      <c r="AE120" s="305">
        <v>1</v>
      </c>
      <c r="AF120" s="298">
        <v>29</v>
      </c>
      <c r="AG120" s="303">
        <f t="shared" si="1199"/>
        <v>8961</v>
      </c>
    </row>
    <row r="121" s="202" customFormat="1" ht="15.75">
      <c r="A121" s="308">
        <v>110</v>
      </c>
      <c r="B121" s="306" t="s">
        <v>1224</v>
      </c>
      <c r="C121" s="306" t="s">
        <v>1340</v>
      </c>
      <c r="D121" s="306" t="s">
        <v>1347</v>
      </c>
      <c r="E121" s="309">
        <v>0.245</v>
      </c>
      <c r="F121" s="309">
        <v>9.0200000000000002e-002</v>
      </c>
      <c r="G121" s="309">
        <v>5.1700000000000003e-002</v>
      </c>
      <c r="H121" s="309">
        <v>1.67e-002</v>
      </c>
      <c r="I121" s="309">
        <v>8.6e-003</v>
      </c>
      <c r="J121" s="309">
        <v>2.3599999999999999e-002</v>
      </c>
      <c r="K121" s="309">
        <v>1.1900000000000001e-002</v>
      </c>
      <c r="L121" s="309">
        <v>4.99e-002</v>
      </c>
      <c r="M121" s="309">
        <v>3.1199999999999999e-002</v>
      </c>
      <c r="N121" s="309">
        <v>0</v>
      </c>
      <c r="O121" s="309">
        <v>0</v>
      </c>
      <c r="P121" s="309">
        <v>2.0999999999999999e-003</v>
      </c>
      <c r="Q121" s="309">
        <v>2.e-003</v>
      </c>
      <c r="R121" s="298">
        <f t="shared" si="1191"/>
        <v>385</v>
      </c>
      <c r="S121" s="298">
        <f t="shared" si="1192"/>
        <v>81</v>
      </c>
      <c r="T121" s="298">
        <f t="shared" si="1193"/>
        <v>117</v>
      </c>
      <c r="U121" s="298">
        <f t="shared" si="1194"/>
        <v>187</v>
      </c>
      <c r="V121" s="298">
        <f t="shared" si="1195"/>
        <v>0</v>
      </c>
      <c r="W121" s="298">
        <f t="shared" si="1196"/>
        <v>0.999999999999998</v>
      </c>
      <c r="X121" s="303">
        <f t="shared" si="1197"/>
        <v>386</v>
      </c>
      <c r="Y121" s="303">
        <f t="shared" si="1200"/>
        <v>14761</v>
      </c>
      <c r="Z121" s="304" t="s">
        <v>1342</v>
      </c>
      <c r="AA121" s="305">
        <v>7104</v>
      </c>
      <c r="AB121" s="305">
        <v>935</v>
      </c>
      <c r="AC121" s="305">
        <v>1208</v>
      </c>
      <c r="AD121" s="305">
        <v>4959</v>
      </c>
      <c r="AE121" s="305">
        <v>2</v>
      </c>
      <c r="AF121" s="298">
        <v>0</v>
      </c>
      <c r="AG121" s="303">
        <f t="shared" si="1199"/>
        <v>7104</v>
      </c>
    </row>
    <row r="122" s="202" customFormat="1" ht="15.75">
      <c r="A122" s="308">
        <v>111</v>
      </c>
      <c r="B122" s="306" t="s">
        <v>1224</v>
      </c>
      <c r="C122" s="306" t="s">
        <v>1340</v>
      </c>
      <c r="D122" s="306" t="s">
        <v>1348</v>
      </c>
      <c r="E122" s="309">
        <v>0.25219999999999998</v>
      </c>
      <c r="F122" s="309">
        <v>9.8799999999999999e-002</v>
      </c>
      <c r="G122" s="309">
        <v>4.02e-002</v>
      </c>
      <c r="H122" s="309">
        <v>1.6899999999999998e-002</v>
      </c>
      <c r="I122" s="309">
        <v>7.4000000000000003e-003</v>
      </c>
      <c r="J122" s="309">
        <v>1.1299999999999999e-002</v>
      </c>
      <c r="K122" s="309">
        <v>3.5999999999999999e-003</v>
      </c>
      <c r="L122" s="309">
        <v>7.0599999999999996e-002</v>
      </c>
      <c r="M122" s="309">
        <v>2.92e-002</v>
      </c>
      <c r="N122" s="309">
        <v>0</v>
      </c>
      <c r="O122" s="309">
        <v>0</v>
      </c>
      <c r="P122" s="309">
        <v>1.e-003</v>
      </c>
      <c r="Q122" s="309">
        <v>5.0000000000000001e-004</v>
      </c>
      <c r="R122" s="298">
        <f t="shared" si="1191"/>
        <v>586</v>
      </c>
      <c r="S122" s="298">
        <f t="shared" si="1192"/>
        <v>95</v>
      </c>
      <c r="T122" s="298">
        <f t="shared" si="1193"/>
        <v>77</v>
      </c>
      <c r="U122" s="298">
        <f t="shared" si="1194"/>
        <v>414</v>
      </c>
      <c r="V122" s="298">
        <f t="shared" si="1195"/>
        <v>0</v>
      </c>
      <c r="W122" s="298">
        <f t="shared" si="1196"/>
        <v>5</v>
      </c>
      <c r="X122" s="303">
        <f t="shared" si="1197"/>
        <v>591</v>
      </c>
      <c r="Y122" s="303">
        <f t="shared" si="1200"/>
        <v>11443</v>
      </c>
      <c r="Z122" s="304" t="s">
        <v>1343</v>
      </c>
      <c r="AA122" s="305">
        <v>9976</v>
      </c>
      <c r="AB122" s="305">
        <v>2327</v>
      </c>
      <c r="AC122" s="305">
        <v>1986</v>
      </c>
      <c r="AD122" s="305">
        <v>5662</v>
      </c>
      <c r="AE122" s="305">
        <v>1</v>
      </c>
      <c r="AF122" s="298">
        <v>114</v>
      </c>
      <c r="AG122" s="303">
        <f t="shared" si="1199"/>
        <v>10090</v>
      </c>
    </row>
    <row r="123" s="202" customFormat="1" ht="15.75">
      <c r="A123" s="308">
        <v>112</v>
      </c>
      <c r="B123" s="306" t="s">
        <v>1224</v>
      </c>
      <c r="C123" s="306" t="s">
        <v>1340</v>
      </c>
      <c r="D123" s="306" t="s">
        <v>1349</v>
      </c>
      <c r="E123" s="309">
        <v>0.63370000000000004</v>
      </c>
      <c r="F123" s="309">
        <v>0.18609999999999999</v>
      </c>
      <c r="G123" s="309">
        <v>5.7099999999999998e-002</v>
      </c>
      <c r="H123" s="309">
        <v>3.6700000000000003e-002</v>
      </c>
      <c r="I123" s="309">
        <v>1.11e-002</v>
      </c>
      <c r="J123" s="309">
        <v>3.6200000000000003e-002</v>
      </c>
      <c r="K123" s="309">
        <v>1.15e-002</v>
      </c>
      <c r="L123" s="309">
        <v>0.113</v>
      </c>
      <c r="M123" s="309">
        <v>3.4500000000000003e-002</v>
      </c>
      <c r="N123" s="309">
        <v>2.0000000000000001e-004</v>
      </c>
      <c r="O123" s="309">
        <v>0</v>
      </c>
      <c r="P123" s="309">
        <v>5.0000000000000001e-004</v>
      </c>
      <c r="Q123" s="309">
        <v>4.0000000000000002e-004</v>
      </c>
      <c r="R123" s="298">
        <f t="shared" si="1191"/>
        <v>1290</v>
      </c>
      <c r="S123" s="298">
        <f t="shared" si="1192"/>
        <v>256</v>
      </c>
      <c r="T123" s="298">
        <f t="shared" si="1193"/>
        <v>247</v>
      </c>
      <c r="U123" s="298">
        <f t="shared" si="1194"/>
        <v>785</v>
      </c>
      <c r="V123" s="298">
        <f t="shared" si="1195"/>
        <v>2</v>
      </c>
      <c r="W123" s="298">
        <f t="shared" si="1196"/>
        <v>1</v>
      </c>
      <c r="X123" s="303">
        <f t="shared" si="1197"/>
        <v>1291</v>
      </c>
      <c r="Y123" s="303">
        <f t="shared" si="1200"/>
        <v>20660</v>
      </c>
      <c r="Z123" s="304" t="s">
        <v>1344</v>
      </c>
      <c r="AA123" s="305">
        <v>17820</v>
      </c>
      <c r="AB123" s="305">
        <v>1792</v>
      </c>
      <c r="AC123" s="305">
        <v>1796</v>
      </c>
      <c r="AD123" s="305">
        <v>14232</v>
      </c>
      <c r="AE123" s="305">
        <v>0</v>
      </c>
      <c r="AF123" s="298">
        <v>3</v>
      </c>
      <c r="AG123" s="303">
        <f t="shared" si="1199"/>
        <v>17823</v>
      </c>
    </row>
    <row r="124" s="202" customFormat="1" ht="15.75">
      <c r="A124" s="308">
        <v>113</v>
      </c>
      <c r="B124" s="306" t="s">
        <v>1224</v>
      </c>
      <c r="C124" s="306" t="s">
        <v>1340</v>
      </c>
      <c r="D124" s="306" t="s">
        <v>1350</v>
      </c>
      <c r="E124" s="309">
        <v>0.16320000000000001</v>
      </c>
      <c r="F124" s="309">
        <v>5.1999999999999998e-002</v>
      </c>
      <c r="G124" s="309">
        <v>1.84e-002</v>
      </c>
      <c r="H124" s="309">
        <v>1.01e-002</v>
      </c>
      <c r="I124" s="309">
        <v>3.0000000000000001e-003</v>
      </c>
      <c r="J124" s="309">
        <v>1.2200000000000001e-002</v>
      </c>
      <c r="K124" s="309">
        <v>4.1000000000000003e-003</v>
      </c>
      <c r="L124" s="309">
        <v>2.9700000000000001e-002</v>
      </c>
      <c r="M124" s="309">
        <v>1.1299999999999999e-002</v>
      </c>
      <c r="N124" s="309">
        <v>0</v>
      </c>
      <c r="O124" s="309">
        <v>0</v>
      </c>
      <c r="P124" s="309">
        <v>1.4e-003</v>
      </c>
      <c r="Q124" s="309">
        <v>4.0000000000000002e-004</v>
      </c>
      <c r="R124" s="298">
        <f t="shared" si="1191"/>
        <v>336</v>
      </c>
      <c r="S124" s="298">
        <f t="shared" si="1192"/>
        <v>71</v>
      </c>
      <c r="T124" s="298">
        <f t="shared" si="1193"/>
        <v>81</v>
      </c>
      <c r="U124" s="298">
        <f t="shared" si="1194"/>
        <v>184</v>
      </c>
      <c r="V124" s="298">
        <f t="shared" si="1195"/>
        <v>0</v>
      </c>
      <c r="W124" s="298">
        <f t="shared" si="1196"/>
        <v>10</v>
      </c>
      <c r="X124" s="303">
        <f t="shared" si="1197"/>
        <v>346</v>
      </c>
      <c r="Y124" s="303">
        <f t="shared" si="1200"/>
        <v>13300</v>
      </c>
      <c r="Z124" s="304" t="s">
        <v>1345</v>
      </c>
      <c r="AA124" s="305">
        <v>33854</v>
      </c>
      <c r="AB124" s="305">
        <v>8863</v>
      </c>
      <c r="AC124" s="305">
        <v>10814</v>
      </c>
      <c r="AD124" s="305">
        <v>14172</v>
      </c>
      <c r="AE124" s="305">
        <v>5</v>
      </c>
      <c r="AF124" s="298">
        <v>0</v>
      </c>
      <c r="AG124" s="303">
        <f t="shared" si="1199"/>
        <v>33854</v>
      </c>
    </row>
    <row r="125" s="202" customFormat="1" ht="15.75">
      <c r="A125" s="308">
        <v>114</v>
      </c>
      <c r="B125" s="306" t="s">
        <v>1224</v>
      </c>
      <c r="C125" s="306" t="s">
        <v>1340</v>
      </c>
      <c r="D125" s="306" t="s">
        <v>1351</v>
      </c>
      <c r="E125" s="309">
        <v>0.2702</v>
      </c>
      <c r="F125" s="309">
        <v>9.4600000000000004e-002</v>
      </c>
      <c r="G125" s="309">
        <v>4.9599999999999998e-002</v>
      </c>
      <c r="H125" s="309">
        <v>1.55e-002</v>
      </c>
      <c r="I125" s="309">
        <v>7.7999999999999996e-003</v>
      </c>
      <c r="J125" s="309">
        <v>2.1999999999999999e-002</v>
      </c>
      <c r="K125" s="309">
        <v>8.5000000000000006e-003</v>
      </c>
      <c r="L125" s="309">
        <v>5.7099999999999998e-002</v>
      </c>
      <c r="M125" s="309">
        <v>3.3300000000000003e-002</v>
      </c>
      <c r="N125" s="309">
        <v>0</v>
      </c>
      <c r="O125" s="309">
        <v>0</v>
      </c>
      <c r="P125" s="309">
        <v>0</v>
      </c>
      <c r="Q125" s="309">
        <v>0</v>
      </c>
      <c r="R125" s="298">
        <f t="shared" si="1191"/>
        <v>450</v>
      </c>
      <c r="S125" s="298">
        <f t="shared" si="1192"/>
        <v>77</v>
      </c>
      <c r="T125" s="298">
        <f t="shared" si="1193"/>
        <v>135</v>
      </c>
      <c r="U125" s="298">
        <f t="shared" si="1194"/>
        <v>238</v>
      </c>
      <c r="V125" s="298">
        <f t="shared" si="1195"/>
        <v>0</v>
      </c>
      <c r="W125" s="298">
        <f t="shared" si="1196"/>
        <v>0</v>
      </c>
      <c r="X125" s="303">
        <f t="shared" si="1197"/>
        <v>450</v>
      </c>
      <c r="Y125" s="303">
        <f t="shared" si="1200"/>
        <v>15346</v>
      </c>
      <c r="Z125" s="304" t="s">
        <v>1346</v>
      </c>
      <c r="AA125" s="305">
        <v>28825</v>
      </c>
      <c r="AB125" s="305">
        <v>5650</v>
      </c>
      <c r="AC125" s="305">
        <v>10681</v>
      </c>
      <c r="AD125" s="305">
        <v>12489</v>
      </c>
      <c r="AE125" s="305">
        <v>5</v>
      </c>
      <c r="AF125" s="298">
        <v>46</v>
      </c>
      <c r="AG125" s="303">
        <f t="shared" si="1199"/>
        <v>28871</v>
      </c>
    </row>
    <row r="126" s="202" customFormat="1" ht="15.75">
      <c r="A126" s="308">
        <v>115</v>
      </c>
      <c r="B126" s="306" t="s">
        <v>1224</v>
      </c>
      <c r="C126" s="306" t="s">
        <v>1340</v>
      </c>
      <c r="D126" s="306" t="s">
        <v>1352</v>
      </c>
      <c r="E126" s="309">
        <v>0.31609999999999999</v>
      </c>
      <c r="F126" s="309">
        <v>0.1028</v>
      </c>
      <c r="G126" s="309">
        <v>3.32e-002</v>
      </c>
      <c r="H126" s="309">
        <v>8.8000000000000005e-003</v>
      </c>
      <c r="I126" s="309">
        <v>2.2000000000000001e-003</v>
      </c>
      <c r="J126" s="309">
        <v>1.29e-002</v>
      </c>
      <c r="K126" s="309">
        <v>3.5999999999999999e-003</v>
      </c>
      <c r="L126" s="309">
        <v>8.1100000000000005e-002</v>
      </c>
      <c r="M126" s="309">
        <v>2.7400000000000001e-002</v>
      </c>
      <c r="N126" s="309">
        <v>0</v>
      </c>
      <c r="O126" s="309">
        <v>0</v>
      </c>
      <c r="P126" s="309">
        <v>1.4e-003</v>
      </c>
      <c r="Q126" s="309">
        <v>5.0000000000000001e-004</v>
      </c>
      <c r="R126" s="298">
        <f t="shared" si="1191"/>
        <v>696</v>
      </c>
      <c r="S126" s="298">
        <f t="shared" si="1192"/>
        <v>66</v>
      </c>
      <c r="T126" s="298">
        <f t="shared" si="1193"/>
        <v>93</v>
      </c>
      <c r="U126" s="298">
        <f t="shared" si="1194"/>
        <v>537</v>
      </c>
      <c r="V126" s="298">
        <f t="shared" si="1195"/>
        <v>0</v>
      </c>
      <c r="W126" s="298">
        <f t="shared" si="1196"/>
        <v>9</v>
      </c>
      <c r="X126" s="303">
        <f t="shared" si="1197"/>
        <v>705</v>
      </c>
      <c r="Y126" s="303">
        <f t="shared" si="1200"/>
        <v>14995</v>
      </c>
      <c r="Z126" s="304" t="s">
        <v>1347</v>
      </c>
      <c r="AA126" s="305">
        <v>14508</v>
      </c>
      <c r="AB126" s="305">
        <v>3536</v>
      </c>
      <c r="AC126" s="305">
        <v>3831</v>
      </c>
      <c r="AD126" s="305">
        <v>7140</v>
      </c>
      <c r="AE126" s="305">
        <v>1</v>
      </c>
      <c r="AF126" s="298">
        <v>253</v>
      </c>
      <c r="AG126" s="303">
        <f t="shared" si="1199"/>
        <v>14761</v>
      </c>
    </row>
    <row r="127" s="202" customFormat="1" ht="15.75">
      <c r="A127" s="308">
        <v>116</v>
      </c>
      <c r="B127" s="306" t="s">
        <v>1224</v>
      </c>
      <c r="C127" s="306" t="s">
        <v>1353</v>
      </c>
      <c r="D127" s="306" t="s">
        <v>1354</v>
      </c>
      <c r="E127" s="309">
        <v>0.50439999999999996</v>
      </c>
      <c r="F127" s="309">
        <v>0.1115</v>
      </c>
      <c r="G127" s="309">
        <v>7.2999999999999995e-002</v>
      </c>
      <c r="H127" s="309">
        <v>9.1999999999999998e-003</v>
      </c>
      <c r="I127" s="309">
        <v>5.8999999999999999e-003</v>
      </c>
      <c r="J127" s="309">
        <v>4.5999999999999999e-003</v>
      </c>
      <c r="K127" s="309">
        <v>3.3999999999999998e-003</v>
      </c>
      <c r="L127" s="309">
        <v>9.7600000000000006e-002</v>
      </c>
      <c r="M127" s="309">
        <v>6.3600000000000004e-002</v>
      </c>
      <c r="N127" s="309">
        <v>1.e-004</v>
      </c>
      <c r="O127" s="309">
        <v>1.e-004</v>
      </c>
      <c r="P127" s="309">
        <v>2.7400000000000001e-002</v>
      </c>
      <c r="Q127" s="309">
        <v>2.12e-002</v>
      </c>
      <c r="R127" s="298">
        <f t="shared" si="1191"/>
        <v>385</v>
      </c>
      <c r="S127" s="298">
        <f t="shared" si="1192"/>
        <v>33</v>
      </c>
      <c r="T127" s="298">
        <f t="shared" si="1193"/>
        <v>12</v>
      </c>
      <c r="U127" s="298">
        <f t="shared" si="1194"/>
        <v>340</v>
      </c>
      <c r="V127" s="298">
        <f t="shared" si="1195"/>
        <v>0</v>
      </c>
      <c r="W127" s="298">
        <f t="shared" si="1196"/>
        <v>62</v>
      </c>
      <c r="X127" s="303">
        <f t="shared" si="1197"/>
        <v>447</v>
      </c>
      <c r="Y127" s="303">
        <f t="shared" si="1200"/>
        <v>5602</v>
      </c>
      <c r="Z127" s="304" t="s">
        <v>1348</v>
      </c>
      <c r="AA127" s="305">
        <v>11314</v>
      </c>
      <c r="AB127" s="305">
        <v>2498</v>
      </c>
      <c r="AC127" s="305">
        <v>1469</v>
      </c>
      <c r="AD127" s="305">
        <v>7344</v>
      </c>
      <c r="AE127" s="305">
        <v>3</v>
      </c>
      <c r="AF127" s="298">
        <v>129</v>
      </c>
      <c r="AG127" s="303">
        <f t="shared" si="1199"/>
        <v>11443</v>
      </c>
    </row>
    <row r="128" s="202" customFormat="1" ht="15.75">
      <c r="A128" s="308">
        <v>117</v>
      </c>
      <c r="B128" s="306" t="s">
        <v>1224</v>
      </c>
      <c r="C128" s="306" t="s">
        <v>1353</v>
      </c>
      <c r="D128" s="306" t="s">
        <v>1355</v>
      </c>
      <c r="E128" s="309">
        <v>0.4269</v>
      </c>
      <c r="F128" s="309">
        <v>0.1062</v>
      </c>
      <c r="G128" s="309">
        <v>6.4600000000000005e-002</v>
      </c>
      <c r="H128" s="309">
        <v>6.6e-003</v>
      </c>
      <c r="I128" s="309">
        <v>3.5999999999999999e-003</v>
      </c>
      <c r="J128" s="309">
        <v>5.0000000000000001e-003</v>
      </c>
      <c r="K128" s="309">
        <v>2.2000000000000001e-003</v>
      </c>
      <c r="L128" s="309">
        <v>9.4399999999999998e-002</v>
      </c>
      <c r="M128" s="309">
        <v>5.8599999999999999e-002</v>
      </c>
      <c r="N128" s="309">
        <v>2.0000000000000001e-004</v>
      </c>
      <c r="O128" s="309">
        <v>2.0000000000000001e-004</v>
      </c>
      <c r="P128" s="309">
        <v>1.37e-002</v>
      </c>
      <c r="Q128" s="309">
        <v>1.2200000000000001e-002</v>
      </c>
      <c r="R128" s="298">
        <f t="shared" si="1191"/>
        <v>416</v>
      </c>
      <c r="S128" s="298">
        <f t="shared" si="1192"/>
        <v>30</v>
      </c>
      <c r="T128" s="298">
        <f t="shared" si="1193"/>
        <v>28</v>
      </c>
      <c r="U128" s="298">
        <f t="shared" si="1194"/>
        <v>358</v>
      </c>
      <c r="V128" s="298">
        <f t="shared" si="1195"/>
        <v>0</v>
      </c>
      <c r="W128" s="298">
        <f t="shared" si="1196"/>
        <v>15</v>
      </c>
      <c r="X128" s="303">
        <f t="shared" si="1197"/>
        <v>431</v>
      </c>
      <c r="Y128" s="303">
        <f t="shared" si="1200"/>
        <v>11031</v>
      </c>
      <c r="Z128" s="304" t="s">
        <v>1349</v>
      </c>
      <c r="AA128" s="305">
        <v>20391</v>
      </c>
      <c r="AB128" s="305">
        <v>5159</v>
      </c>
      <c r="AC128" s="305">
        <v>4462</v>
      </c>
      <c r="AD128" s="305">
        <v>10764</v>
      </c>
      <c r="AE128" s="305">
        <v>6</v>
      </c>
      <c r="AF128" s="298">
        <v>269</v>
      </c>
      <c r="AG128" s="303">
        <f t="shared" si="1199"/>
        <v>20660</v>
      </c>
    </row>
    <row r="129" s="202" customFormat="1" ht="15.75">
      <c r="A129" s="308">
        <v>118</v>
      </c>
      <c r="B129" s="306" t="s">
        <v>1224</v>
      </c>
      <c r="C129" s="306" t="s">
        <v>1353</v>
      </c>
      <c r="D129" s="306" t="s">
        <v>1356</v>
      </c>
      <c r="E129" s="309">
        <v>0.78659999999999997</v>
      </c>
      <c r="F129" s="309">
        <v>0.20250000000000001</v>
      </c>
      <c r="G129" s="309">
        <v>0.12089999999999999</v>
      </c>
      <c r="H129" s="309">
        <v>3.85e-002</v>
      </c>
      <c r="I129" s="309">
        <v>2.1299999999999999e-002</v>
      </c>
      <c r="J129" s="309">
        <v>3.5499999999999997e-002</v>
      </c>
      <c r="K129" s="309">
        <v>1.8499999999999999e-002</v>
      </c>
      <c r="L129" s="309">
        <v>0.12839999999999999</v>
      </c>
      <c r="M129" s="309">
        <v>8.1100000000000005e-002</v>
      </c>
      <c r="N129" s="309">
        <v>1.e-004</v>
      </c>
      <c r="O129" s="309">
        <v>0</v>
      </c>
      <c r="P129" s="309">
        <v>7.4999999999999997e-003</v>
      </c>
      <c r="Q129" s="309">
        <v>6.7999999999999996e-003</v>
      </c>
      <c r="R129" s="298">
        <f t="shared" si="1191"/>
        <v>816</v>
      </c>
      <c r="S129" s="298">
        <f t="shared" si="1192"/>
        <v>172</v>
      </c>
      <c r="T129" s="298">
        <f t="shared" si="1193"/>
        <v>170</v>
      </c>
      <c r="U129" s="298">
        <f t="shared" si="1194"/>
        <v>473</v>
      </c>
      <c r="V129" s="298">
        <f t="shared" si="1195"/>
        <v>1</v>
      </c>
      <c r="W129" s="298">
        <f t="shared" si="1196"/>
        <v>7</v>
      </c>
      <c r="X129" s="303">
        <f t="shared" si="1197"/>
        <v>823</v>
      </c>
      <c r="Y129" s="303">
        <f t="shared" si="1200"/>
        <v>12569</v>
      </c>
      <c r="Z129" s="304" t="s">
        <v>1350</v>
      </c>
      <c r="AA129" s="305">
        <v>13248</v>
      </c>
      <c r="AB129" s="305">
        <v>4346</v>
      </c>
      <c r="AC129" s="305">
        <v>3141</v>
      </c>
      <c r="AD129" s="305">
        <v>5759</v>
      </c>
      <c r="AE129" s="305">
        <v>2</v>
      </c>
      <c r="AF129" s="298">
        <v>52</v>
      </c>
      <c r="AG129" s="303">
        <f t="shared" si="1199"/>
        <v>13300</v>
      </c>
    </row>
    <row r="130" s="202" customFormat="1" ht="15.75">
      <c r="A130" s="308">
        <v>119</v>
      </c>
      <c r="B130" s="306" t="s">
        <v>1224</v>
      </c>
      <c r="C130" s="306" t="s">
        <v>1353</v>
      </c>
      <c r="D130" s="306" t="s">
        <v>1357</v>
      </c>
      <c r="E130" s="309">
        <v>0.86129999999999995</v>
      </c>
      <c r="F130" s="309">
        <v>0.30590000000000001</v>
      </c>
      <c r="G130" s="309">
        <v>0.2117</v>
      </c>
      <c r="H130" s="309">
        <v>5.2299999999999999e-002</v>
      </c>
      <c r="I130" s="309">
        <v>3.4799999999999998e-002</v>
      </c>
      <c r="J130" s="309">
        <v>2.0199999999999999e-002</v>
      </c>
      <c r="K130" s="309">
        <v>1.2500000000000001e-002</v>
      </c>
      <c r="L130" s="309">
        <v>0.23280000000000001</v>
      </c>
      <c r="M130" s="309">
        <v>0.16420000000000001</v>
      </c>
      <c r="N130" s="309">
        <v>5.9999999999999995e-004</v>
      </c>
      <c r="O130" s="309">
        <v>2.0000000000000001e-004</v>
      </c>
      <c r="P130" s="309">
        <v>1.e-004</v>
      </c>
      <c r="Q130" s="309">
        <v>1.e-004</v>
      </c>
      <c r="R130" s="298">
        <f t="shared" si="1191"/>
        <v>942</v>
      </c>
      <c r="S130" s="298">
        <f t="shared" si="1192"/>
        <v>175</v>
      </c>
      <c r="T130" s="298">
        <f t="shared" si="1193"/>
        <v>77</v>
      </c>
      <c r="U130" s="298">
        <f t="shared" si="1194"/>
        <v>686</v>
      </c>
      <c r="V130" s="298">
        <f t="shared" si="1195"/>
        <v>4</v>
      </c>
      <c r="W130" s="298">
        <f t="shared" si="1196"/>
        <v>0</v>
      </c>
      <c r="X130" s="303">
        <f t="shared" si="1197"/>
        <v>942</v>
      </c>
      <c r="Y130" s="303">
        <f t="shared" si="1200"/>
        <v>22751</v>
      </c>
      <c r="Z130" s="304" t="s">
        <v>1351</v>
      </c>
      <c r="AA130" s="305">
        <v>15346</v>
      </c>
      <c r="AB130" s="305">
        <v>3428</v>
      </c>
      <c r="AC130" s="305">
        <v>3984</v>
      </c>
      <c r="AD130" s="305">
        <v>7934</v>
      </c>
      <c r="AE130" s="305">
        <v>0</v>
      </c>
      <c r="AF130" s="298">
        <v>0</v>
      </c>
      <c r="AG130" s="303">
        <f t="shared" si="1199"/>
        <v>15346</v>
      </c>
    </row>
    <row r="131" s="202" customFormat="1" ht="15.75">
      <c r="A131" s="308">
        <v>120</v>
      </c>
      <c r="B131" s="306" t="s">
        <v>1224</v>
      </c>
      <c r="C131" s="306" t="s">
        <v>1353</v>
      </c>
      <c r="D131" s="306" t="s">
        <v>1358</v>
      </c>
      <c r="E131" s="309">
        <v>0.64829999999999999</v>
      </c>
      <c r="F131" s="309">
        <v>0.1474</v>
      </c>
      <c r="G131" s="309">
        <v>0.1128</v>
      </c>
      <c r="H131" s="309">
        <v>3.0099999999999998e-002</v>
      </c>
      <c r="I131" s="309">
        <v>2.1899999999999999e-002</v>
      </c>
      <c r="J131" s="309">
        <v>1.11e-002</v>
      </c>
      <c r="K131" s="309">
        <v>8.6e-003</v>
      </c>
      <c r="L131" s="309">
        <v>0.1062</v>
      </c>
      <c r="M131" s="309">
        <v>8.2299999999999998e-002</v>
      </c>
      <c r="N131" s="309">
        <v>0</v>
      </c>
      <c r="O131" s="309">
        <v>0</v>
      </c>
      <c r="P131" s="309">
        <v>1.09e-002</v>
      </c>
      <c r="Q131" s="309">
        <v>9.2999999999999992e-003</v>
      </c>
      <c r="R131" s="298">
        <f t="shared" si="1191"/>
        <v>346</v>
      </c>
      <c r="S131" s="298">
        <f t="shared" si="1192"/>
        <v>82</v>
      </c>
      <c r="T131" s="298">
        <f t="shared" si="1193"/>
        <v>25</v>
      </c>
      <c r="U131" s="298">
        <f t="shared" si="1194"/>
        <v>239</v>
      </c>
      <c r="V131" s="298">
        <f t="shared" si="1195"/>
        <v>0</v>
      </c>
      <c r="W131" s="298">
        <f t="shared" si="1196"/>
        <v>16</v>
      </c>
      <c r="X131" s="303">
        <f t="shared" si="1197"/>
        <v>362</v>
      </c>
      <c r="Y131" s="303">
        <f t="shared" si="1200"/>
        <v>10257</v>
      </c>
      <c r="Z131" s="304" t="s">
        <v>1352</v>
      </c>
      <c r="AA131" s="305">
        <v>14935</v>
      </c>
      <c r="AB131" s="305">
        <v>1724</v>
      </c>
      <c r="AC131" s="305">
        <v>2864</v>
      </c>
      <c r="AD131" s="305">
        <v>10339</v>
      </c>
      <c r="AE131" s="305">
        <v>8</v>
      </c>
      <c r="AF131" s="298">
        <v>60</v>
      </c>
      <c r="AG131" s="303">
        <f t="shared" si="1199"/>
        <v>14995</v>
      </c>
    </row>
    <row r="132" s="202" customFormat="1" ht="15.75">
      <c r="A132" s="308">
        <v>121</v>
      </c>
      <c r="B132" s="306" t="s">
        <v>1224</v>
      </c>
      <c r="C132" s="306" t="s">
        <v>1359</v>
      </c>
      <c r="D132" s="306" t="s">
        <v>1360</v>
      </c>
      <c r="E132" s="309">
        <v>1.1184000000000001</v>
      </c>
      <c r="F132" s="309">
        <v>0.34749999999999998</v>
      </c>
      <c r="G132" s="309">
        <v>0.18779999999999999</v>
      </c>
      <c r="H132" s="309">
        <v>7.1300000000000002e-002</v>
      </c>
      <c r="I132" s="309">
        <v>3.04e-002</v>
      </c>
      <c r="J132" s="309">
        <v>2.46e-002</v>
      </c>
      <c r="K132" s="309">
        <v>1.04e-002</v>
      </c>
      <c r="L132" s="309">
        <v>0.251</v>
      </c>
      <c r="M132" s="309">
        <v>0.1467</v>
      </c>
      <c r="N132" s="309">
        <v>5.9999999999999995e-004</v>
      </c>
      <c r="O132" s="309">
        <v>2.9999999999999997e-004</v>
      </c>
      <c r="P132" s="309">
        <v>3.9199999999999999e-002</v>
      </c>
      <c r="Q132" s="309">
        <v>3.4799999999999998e-002</v>
      </c>
      <c r="R132" s="298">
        <f t="shared" si="1191"/>
        <v>1597</v>
      </c>
      <c r="S132" s="298">
        <f t="shared" si="1192"/>
        <v>409</v>
      </c>
      <c r="T132" s="298">
        <f t="shared" si="1193"/>
        <v>142</v>
      </c>
      <c r="U132" s="298">
        <f t="shared" si="1194"/>
        <v>1043</v>
      </c>
      <c r="V132" s="298">
        <f t="shared" si="1195"/>
        <v>3</v>
      </c>
      <c r="W132" s="298">
        <f t="shared" si="1196"/>
        <v>44</v>
      </c>
      <c r="X132" s="303">
        <f t="shared" si="1197"/>
        <v>1641</v>
      </c>
      <c r="Y132" s="303">
        <f t="shared" si="1200"/>
        <v>38129</v>
      </c>
      <c r="Z132" s="304" t="s">
        <v>1354</v>
      </c>
      <c r="AA132" s="305">
        <v>4943</v>
      </c>
      <c r="AB132" s="305">
        <v>752</v>
      </c>
      <c r="AC132" s="305">
        <v>279</v>
      </c>
      <c r="AD132" s="305">
        <v>3896</v>
      </c>
      <c r="AE132" s="305">
        <v>16</v>
      </c>
      <c r="AF132" s="298">
        <v>659</v>
      </c>
      <c r="AG132" s="303">
        <f t="shared" si="1199"/>
        <v>5602</v>
      </c>
    </row>
    <row r="133" s="202" customFormat="1" ht="15.75">
      <c r="A133" s="308">
        <v>122</v>
      </c>
      <c r="B133" s="306" t="s">
        <v>1224</v>
      </c>
      <c r="C133" s="306" t="s">
        <v>1359</v>
      </c>
      <c r="D133" s="306" t="s">
        <v>1361</v>
      </c>
      <c r="E133" s="309">
        <v>1.0721000000000001</v>
      </c>
      <c r="F133" s="309">
        <v>0.40350000000000003</v>
      </c>
      <c r="G133" s="309">
        <v>0.2442</v>
      </c>
      <c r="H133" s="309">
        <v>7.4499999999999997e-002</v>
      </c>
      <c r="I133" s="309">
        <v>4.2999999999999997e-002</v>
      </c>
      <c r="J133" s="309">
        <v>1.24e-002</v>
      </c>
      <c r="K133" s="309">
        <v>5.4999999999999997e-003</v>
      </c>
      <c r="L133" s="309">
        <v>0.31630000000000003</v>
      </c>
      <c r="M133" s="309">
        <v>0.19539999999999999</v>
      </c>
      <c r="N133" s="309">
        <v>2.9999999999999997e-004</v>
      </c>
      <c r="O133" s="309">
        <v>2.9999999999999997e-004</v>
      </c>
      <c r="P133" s="309">
        <v>2.2000000000000001e-003</v>
      </c>
      <c r="Q133" s="309">
        <v>1.4e-003</v>
      </c>
      <c r="R133" s="298">
        <f t="shared" si="1191"/>
        <v>1593</v>
      </c>
      <c r="S133" s="298">
        <f t="shared" si="1192"/>
        <v>315</v>
      </c>
      <c r="T133" s="298">
        <f t="shared" si="1193"/>
        <v>69</v>
      </c>
      <c r="U133" s="298">
        <f t="shared" si="1194"/>
        <v>1209</v>
      </c>
      <c r="V133" s="298">
        <f t="shared" si="1195"/>
        <v>0</v>
      </c>
      <c r="W133" s="298">
        <f t="shared" si="1196"/>
        <v>8</v>
      </c>
      <c r="X133" s="303">
        <f t="shared" si="1197"/>
        <v>1601</v>
      </c>
      <c r="Y133" s="303">
        <f t="shared" si="1200"/>
        <v>36362</v>
      </c>
      <c r="Z133" s="304" t="s">
        <v>1355</v>
      </c>
      <c r="AA133" s="305">
        <v>10243</v>
      </c>
      <c r="AB133" s="305">
        <v>1376</v>
      </c>
      <c r="AC133" s="305">
        <v>558</v>
      </c>
      <c r="AD133" s="305">
        <v>8303</v>
      </c>
      <c r="AE133" s="305">
        <v>6</v>
      </c>
      <c r="AF133" s="298">
        <v>788</v>
      </c>
      <c r="AG133" s="303">
        <f t="shared" si="1199"/>
        <v>11031</v>
      </c>
    </row>
    <row r="134" s="202" customFormat="1" ht="15.75">
      <c r="A134" s="308">
        <v>123</v>
      </c>
      <c r="B134" s="306" t="s">
        <v>1224</v>
      </c>
      <c r="C134" s="306" t="s">
        <v>1359</v>
      </c>
      <c r="D134" s="306" t="s">
        <v>1362</v>
      </c>
      <c r="E134" s="309">
        <v>0.26290000000000002</v>
      </c>
      <c r="F134" s="309">
        <v>8.4500000000000006e-002</v>
      </c>
      <c r="G134" s="309">
        <v>6.1400000000000003e-002</v>
      </c>
      <c r="H134" s="309">
        <v>5.4000000000000003e-003</v>
      </c>
      <c r="I134" s="309">
        <v>4.1000000000000003e-003</v>
      </c>
      <c r="J134" s="309">
        <v>2.5000000000000001e-003</v>
      </c>
      <c r="K134" s="309">
        <v>1.6999999999999999e-003</v>
      </c>
      <c r="L134" s="309">
        <v>7.6600000000000001e-002</v>
      </c>
      <c r="M134" s="309">
        <v>5.5599999999999997e-002</v>
      </c>
      <c r="N134" s="309">
        <v>0</v>
      </c>
      <c r="O134" s="309">
        <v>0</v>
      </c>
      <c r="P134" s="309">
        <v>4.1000000000000003e-003</v>
      </c>
      <c r="Q134" s="309">
        <v>2.8e-003</v>
      </c>
      <c r="R134" s="298">
        <f t="shared" si="1191"/>
        <v>231</v>
      </c>
      <c r="S134" s="298">
        <f t="shared" si="1192"/>
        <v>13</v>
      </c>
      <c r="T134" s="298">
        <f t="shared" si="1193"/>
        <v>8</v>
      </c>
      <c r="U134" s="298">
        <f t="shared" si="1194"/>
        <v>210</v>
      </c>
      <c r="V134" s="298">
        <f t="shared" si="1195"/>
        <v>0</v>
      </c>
      <c r="W134" s="298">
        <f t="shared" si="1196"/>
        <v>13</v>
      </c>
      <c r="X134" s="303">
        <f t="shared" si="1197"/>
        <v>244</v>
      </c>
      <c r="Y134" s="303">
        <f t="shared" si="1200"/>
        <v>8467</v>
      </c>
      <c r="Z134" s="304" t="s">
        <v>1356</v>
      </c>
      <c r="AA134" s="305">
        <v>12365</v>
      </c>
      <c r="AB134" s="305">
        <v>3532</v>
      </c>
      <c r="AC134" s="305">
        <v>2763</v>
      </c>
      <c r="AD134" s="305">
        <v>6066</v>
      </c>
      <c r="AE134" s="305">
        <v>4</v>
      </c>
      <c r="AF134" s="298">
        <v>204</v>
      </c>
      <c r="AG134" s="303">
        <f t="shared" si="1199"/>
        <v>12569</v>
      </c>
    </row>
    <row r="135" s="202" customFormat="1" ht="15.75">
      <c r="A135" s="308">
        <v>124</v>
      </c>
      <c r="B135" s="306" t="s">
        <v>1224</v>
      </c>
      <c r="C135" s="306" t="s">
        <v>1359</v>
      </c>
      <c r="D135" s="306" t="s">
        <v>1363</v>
      </c>
      <c r="E135" s="309">
        <v>1.7311000000000001</v>
      </c>
      <c r="F135" s="309">
        <v>0.58009999999999995</v>
      </c>
      <c r="G135" s="309">
        <v>0.39019999999999999</v>
      </c>
      <c r="H135" s="309">
        <v>0.14050000000000001</v>
      </c>
      <c r="I135" s="309">
        <v>7.4899999999999994e-002</v>
      </c>
      <c r="J135" s="309">
        <v>6.1699999999999998e-002</v>
      </c>
      <c r="K135" s="309">
        <v>3.8199999999999998e-002</v>
      </c>
      <c r="L135" s="309">
        <v>0.37780000000000002</v>
      </c>
      <c r="M135" s="309">
        <v>0.27700000000000002</v>
      </c>
      <c r="N135" s="309">
        <v>1.e-004</v>
      </c>
      <c r="O135" s="309">
        <v>1.e-004</v>
      </c>
      <c r="P135" s="309">
        <v>4.1399999999999999e-002</v>
      </c>
      <c r="Q135" s="309">
        <v>3.4599999999999999e-002</v>
      </c>
      <c r="R135" s="298">
        <f t="shared" si="1191"/>
        <v>1899</v>
      </c>
      <c r="S135" s="298">
        <f t="shared" si="1192"/>
        <v>656</v>
      </c>
      <c r="T135" s="298">
        <f t="shared" si="1193"/>
        <v>235</v>
      </c>
      <c r="U135" s="298">
        <f t="shared" si="1194"/>
        <v>1008</v>
      </c>
      <c r="V135" s="298">
        <f t="shared" si="1195"/>
        <v>0</v>
      </c>
      <c r="W135" s="298">
        <f t="shared" si="1196"/>
        <v>68</v>
      </c>
      <c r="X135" s="303">
        <f t="shared" si="1197"/>
        <v>1967</v>
      </c>
      <c r="Y135" s="303">
        <f t="shared" si="1200"/>
        <v>51901</v>
      </c>
      <c r="Z135" s="304" t="s">
        <v>1357</v>
      </c>
      <c r="AA135" s="305">
        <v>22746</v>
      </c>
      <c r="AB135" s="305">
        <v>5587</v>
      </c>
      <c r="AC135" s="305">
        <v>1696</v>
      </c>
      <c r="AD135" s="305">
        <v>15432</v>
      </c>
      <c r="AE135" s="305">
        <v>31</v>
      </c>
      <c r="AF135" s="298">
        <v>5</v>
      </c>
      <c r="AG135" s="303">
        <f t="shared" si="1199"/>
        <v>22751</v>
      </c>
    </row>
    <row r="136" s="202" customFormat="1" ht="15.75">
      <c r="A136" s="308">
        <v>125</v>
      </c>
      <c r="B136" s="306" t="s">
        <v>1224</v>
      </c>
      <c r="C136" s="306" t="s">
        <v>1364</v>
      </c>
      <c r="D136" s="306" t="s">
        <v>1365</v>
      </c>
      <c r="E136" s="309">
        <v>0.11310000000000001</v>
      </c>
      <c r="F136" s="309">
        <v>4.9500000000000002e-002</v>
      </c>
      <c r="G136" s="309">
        <v>2.4e-002</v>
      </c>
      <c r="H136" s="309">
        <v>2.0000000000000001e-004</v>
      </c>
      <c r="I136" s="309">
        <v>0</v>
      </c>
      <c r="J136" s="309">
        <v>1.4e-003</v>
      </c>
      <c r="K136" s="309">
        <v>5.9999999999999995e-004</v>
      </c>
      <c r="L136" s="309">
        <v>4.7899999999999998e-002</v>
      </c>
      <c r="M136" s="309">
        <v>2.3400000000000001e-002</v>
      </c>
      <c r="N136" s="309">
        <v>0</v>
      </c>
      <c r="O136" s="309">
        <v>0</v>
      </c>
      <c r="P136" s="309">
        <v>3.3e-003</v>
      </c>
      <c r="Q136" s="309">
        <v>2.3e-003</v>
      </c>
      <c r="R136" s="298">
        <f t="shared" si="1191"/>
        <v>255</v>
      </c>
      <c r="S136" s="298">
        <f t="shared" si="1192"/>
        <v>2</v>
      </c>
      <c r="T136" s="298">
        <f t="shared" si="1193"/>
        <v>8</v>
      </c>
      <c r="U136" s="298">
        <f t="shared" si="1194"/>
        <v>245</v>
      </c>
      <c r="V136" s="298">
        <f t="shared" si="1195"/>
        <v>0</v>
      </c>
      <c r="W136" s="298">
        <f t="shared" si="1196"/>
        <v>10</v>
      </c>
      <c r="X136" s="303">
        <f t="shared" si="1197"/>
        <v>265</v>
      </c>
      <c r="Y136" s="303">
        <f t="shared" si="1200"/>
        <v>10306</v>
      </c>
      <c r="Z136" s="304" t="s">
        <v>1358</v>
      </c>
      <c r="AA136" s="305">
        <v>9994</v>
      </c>
      <c r="AB136" s="305">
        <v>3436</v>
      </c>
      <c r="AC136" s="305">
        <v>1302</v>
      </c>
      <c r="AD136" s="305">
        <v>5248</v>
      </c>
      <c r="AE136" s="305">
        <v>8</v>
      </c>
      <c r="AF136" s="298">
        <v>263</v>
      </c>
      <c r="AG136" s="303">
        <f t="shared" si="1199"/>
        <v>10257</v>
      </c>
    </row>
    <row r="137" s="202" customFormat="1" ht="15.75">
      <c r="A137" s="308">
        <v>126</v>
      </c>
      <c r="B137" s="306" t="s">
        <v>1224</v>
      </c>
      <c r="C137" s="306" t="s">
        <v>1364</v>
      </c>
      <c r="D137" s="306" t="s">
        <v>1366</v>
      </c>
      <c r="E137" s="309">
        <v>0.1196</v>
      </c>
      <c r="F137" s="309">
        <v>3.4799999999999998e-002</v>
      </c>
      <c r="G137" s="309">
        <v>2.4899999999999999e-002</v>
      </c>
      <c r="H137" s="309">
        <v>4.0000000000000002e-004</v>
      </c>
      <c r="I137" s="309">
        <v>4.0000000000000002e-004</v>
      </c>
      <c r="J137" s="309">
        <v>3.5999999999999999e-003</v>
      </c>
      <c r="K137" s="309">
        <v>2.e-003</v>
      </c>
      <c r="L137" s="309">
        <v>3.0700000000000002e-002</v>
      </c>
      <c r="M137" s="309">
        <v>2.24e-002</v>
      </c>
      <c r="N137" s="309">
        <v>1.e-004</v>
      </c>
      <c r="O137" s="309">
        <v>1.e-004</v>
      </c>
      <c r="P137" s="309">
        <v>1.e-004</v>
      </c>
      <c r="Q137" s="309">
        <v>1.e-004</v>
      </c>
      <c r="R137" s="298">
        <f t="shared" si="1191"/>
        <v>99</v>
      </c>
      <c r="S137" s="298">
        <f t="shared" si="1192"/>
        <v>0</v>
      </c>
      <c r="T137" s="298">
        <f t="shared" si="1193"/>
        <v>16</v>
      </c>
      <c r="U137" s="298">
        <f t="shared" si="1194"/>
        <v>83</v>
      </c>
      <c r="V137" s="298">
        <f t="shared" si="1195"/>
        <v>0</v>
      </c>
      <c r="W137" s="298">
        <f t="shared" si="1196"/>
        <v>0</v>
      </c>
      <c r="X137" s="303">
        <f t="shared" si="1197"/>
        <v>99</v>
      </c>
      <c r="Y137" s="303">
        <f t="shared" si="1200"/>
        <v>5551</v>
      </c>
      <c r="Z137" s="304" t="s">
        <v>1360</v>
      </c>
      <c r="AA137" s="305">
        <v>33321</v>
      </c>
      <c r="AB137" s="305">
        <v>6925</v>
      </c>
      <c r="AC137" s="305">
        <v>2504</v>
      </c>
      <c r="AD137" s="305">
        <v>23836</v>
      </c>
      <c r="AE137" s="305">
        <v>56</v>
      </c>
      <c r="AF137" s="298">
        <v>4808</v>
      </c>
      <c r="AG137" s="303">
        <f t="shared" si="1199"/>
        <v>38129</v>
      </c>
    </row>
    <row r="138" s="202" customFormat="1" ht="15.75">
      <c r="A138" s="308">
        <v>127</v>
      </c>
      <c r="B138" s="306" t="s">
        <v>1224</v>
      </c>
      <c r="C138" s="306" t="s">
        <v>1364</v>
      </c>
      <c r="D138" s="306" t="s">
        <v>1367</v>
      </c>
      <c r="E138" s="309">
        <v>0.49280000000000002</v>
      </c>
      <c r="F138" s="309">
        <v>0.16470000000000001</v>
      </c>
      <c r="G138" s="309">
        <v>7.2900000000000006e-002</v>
      </c>
      <c r="H138" s="309">
        <v>1.78e-002</v>
      </c>
      <c r="I138" s="309">
        <v>6.3e-003</v>
      </c>
      <c r="J138" s="309">
        <v>1.3599999999999999e-002</v>
      </c>
      <c r="K138" s="309">
        <v>4.4000000000000003e-003</v>
      </c>
      <c r="L138" s="309">
        <v>0.1333</v>
      </c>
      <c r="M138" s="309">
        <v>6.2199999999999998e-002</v>
      </c>
      <c r="N138" s="309">
        <v>0</v>
      </c>
      <c r="O138" s="309">
        <v>0</v>
      </c>
      <c r="P138" s="309">
        <v>1.04e-002</v>
      </c>
      <c r="Q138" s="309">
        <v>7.0000000000000001e-003</v>
      </c>
      <c r="R138" s="298">
        <f t="shared" si="1191"/>
        <v>918</v>
      </c>
      <c r="S138" s="298">
        <f t="shared" si="1192"/>
        <v>115</v>
      </c>
      <c r="T138" s="298">
        <f t="shared" si="1193"/>
        <v>92</v>
      </c>
      <c r="U138" s="298">
        <f t="shared" si="1194"/>
        <v>711</v>
      </c>
      <c r="V138" s="298">
        <f t="shared" si="1195"/>
        <v>0</v>
      </c>
      <c r="W138" s="298">
        <f t="shared" si="1196"/>
        <v>34</v>
      </c>
      <c r="X138" s="303">
        <f t="shared" si="1197"/>
        <v>952</v>
      </c>
      <c r="Y138" s="303">
        <f t="shared" si="1200"/>
        <v>22140</v>
      </c>
      <c r="Z138" s="304" t="s">
        <v>1361</v>
      </c>
      <c r="AA138" s="305">
        <v>36090</v>
      </c>
      <c r="AB138" s="305">
        <v>7614</v>
      </c>
      <c r="AC138" s="305">
        <v>1087</v>
      </c>
      <c r="AD138" s="305">
        <v>27376</v>
      </c>
      <c r="AE138" s="305">
        <v>13</v>
      </c>
      <c r="AF138" s="298">
        <v>272</v>
      </c>
      <c r="AG138" s="303">
        <f t="shared" si="1199"/>
        <v>36362</v>
      </c>
    </row>
    <row r="139" s="202" customFormat="1" ht="48" customHeight="1">
      <c r="A139" s="310" t="s">
        <v>1368</v>
      </c>
      <c r="B139" s="310"/>
      <c r="C139" s="310"/>
      <c r="D139" s="310"/>
      <c r="E139" s="310"/>
      <c r="F139" s="310"/>
      <c r="G139" s="310"/>
      <c r="H139" s="310"/>
      <c r="I139" s="310"/>
      <c r="J139" s="310"/>
      <c r="K139" s="310"/>
      <c r="L139" s="310"/>
      <c r="M139" s="310"/>
      <c r="N139" s="310"/>
      <c r="O139" s="310"/>
      <c r="P139" s="310"/>
      <c r="Q139" s="310"/>
      <c r="X139" s="279"/>
      <c r="Y139" s="279"/>
      <c r="Z139" s="304" t="s">
        <v>1362</v>
      </c>
      <c r="AA139" s="305">
        <v>8114</v>
      </c>
      <c r="AB139" s="305">
        <v>594</v>
      </c>
      <c r="AC139" s="305">
        <v>203</v>
      </c>
      <c r="AD139" s="305">
        <v>7317</v>
      </c>
      <c r="AE139" s="305">
        <v>0</v>
      </c>
      <c r="AF139" s="298">
        <v>353</v>
      </c>
      <c r="AG139" s="303">
        <f t="shared" ref="AG139:AG143" si="1201">AA139+AF139</f>
        <v>8467</v>
      </c>
    </row>
    <row r="140" s="202" customFormat="1" ht="15.75">
      <c r="A140" s="202"/>
      <c r="B140" s="278"/>
      <c r="C140" s="278"/>
      <c r="D140" s="278"/>
      <c r="E140" s="278"/>
      <c r="X140" s="279"/>
      <c r="Y140" s="279"/>
      <c r="Z140" s="304" t="s">
        <v>1363</v>
      </c>
      <c r="AA140" s="305">
        <v>48624</v>
      </c>
      <c r="AB140" s="305">
        <v>13034</v>
      </c>
      <c r="AC140" s="305">
        <v>5234</v>
      </c>
      <c r="AD140" s="305">
        <v>30339</v>
      </c>
      <c r="AE140" s="305">
        <v>17</v>
      </c>
      <c r="AF140" s="298">
        <v>3277</v>
      </c>
      <c r="AG140" s="303">
        <f t="shared" si="1201"/>
        <v>51901</v>
      </c>
    </row>
    <row r="141" s="202" customFormat="1" ht="15.75">
      <c r="A141" s="202"/>
      <c r="B141" s="278"/>
      <c r="C141" s="278"/>
      <c r="D141" s="278"/>
      <c r="E141" s="278"/>
      <c r="X141" s="279"/>
      <c r="Y141" s="279"/>
      <c r="Z141" s="304" t="s">
        <v>1365</v>
      </c>
      <c r="AA141" s="305">
        <v>9334</v>
      </c>
      <c r="AB141" s="305">
        <v>235</v>
      </c>
      <c r="AC141" s="305">
        <v>357</v>
      </c>
      <c r="AD141" s="305">
        <v>8741</v>
      </c>
      <c r="AE141" s="305">
        <v>1</v>
      </c>
      <c r="AF141" s="298">
        <v>972</v>
      </c>
      <c r="AG141" s="303">
        <f t="shared" si="1201"/>
        <v>10306</v>
      </c>
    </row>
    <row r="142" s="202" customFormat="1" ht="15.75">
      <c r="A142" s="202"/>
      <c r="B142" s="278"/>
      <c r="C142" s="278"/>
      <c r="D142" s="278"/>
      <c r="E142" s="278"/>
      <c r="X142" s="279"/>
      <c r="Y142" s="279"/>
      <c r="Z142" s="304" t="s">
        <v>1366</v>
      </c>
      <c r="AA142" s="305">
        <v>5539</v>
      </c>
      <c r="AB142" s="305">
        <v>188</v>
      </c>
      <c r="AC142" s="305">
        <v>818</v>
      </c>
      <c r="AD142" s="305">
        <v>4528</v>
      </c>
      <c r="AE142" s="305">
        <v>5</v>
      </c>
      <c r="AF142" s="298">
        <v>12</v>
      </c>
      <c r="AG142" s="303">
        <f t="shared" si="1201"/>
        <v>5551</v>
      </c>
    </row>
    <row r="143" s="202" customFormat="1" ht="15.75">
      <c r="A143" s="202"/>
      <c r="B143" s="278"/>
      <c r="C143" s="278"/>
      <c r="D143" s="278"/>
      <c r="E143" s="278"/>
      <c r="X143" s="279"/>
      <c r="Y143" s="279"/>
      <c r="Z143" s="304" t="s">
        <v>1367</v>
      </c>
      <c r="AA143" s="305">
        <v>20689</v>
      </c>
      <c r="AB143" s="305">
        <v>2340</v>
      </c>
      <c r="AC143" s="305">
        <v>1700</v>
      </c>
      <c r="AD143" s="305">
        <v>16649</v>
      </c>
      <c r="AE143" s="305">
        <v>0</v>
      </c>
      <c r="AF143" s="298">
        <v>1451</v>
      </c>
      <c r="AG143" s="303">
        <f t="shared" si="1201"/>
        <v>22140</v>
      </c>
    </row>
    <row r="144" s="202" customFormat="1" ht="12.75">
      <c r="A144" s="202"/>
      <c r="B144" s="278"/>
      <c r="C144" s="278"/>
      <c r="D144" s="278"/>
      <c r="E144" s="278"/>
      <c r="X144" s="279"/>
      <c r="Y144" s="279"/>
      <c r="AG144" s="279"/>
    </row>
  </sheetData>
  <mergeCells count="17">
    <mergeCell ref="A1:Q1"/>
    <mergeCell ref="Z1:AE1"/>
    <mergeCell ref="A2:Q2"/>
    <mergeCell ref="Z2:AE2"/>
    <mergeCell ref="F3:G3"/>
    <mergeCell ref="H3:I3"/>
    <mergeCell ref="J3:K3"/>
    <mergeCell ref="L3:M3"/>
    <mergeCell ref="N3:O3"/>
    <mergeCell ref="P3:Q3"/>
    <mergeCell ref="A5:D5"/>
    <mergeCell ref="A139:Q139"/>
    <mergeCell ref="A3:A4"/>
    <mergeCell ref="B3:B4"/>
    <mergeCell ref="C3:C4"/>
    <mergeCell ref="D3:D4"/>
    <mergeCell ref="E3:E4"/>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3">
    <outlinePr applyStyles="0" summaryBelow="1" summaryRight="1" showOutlineSymbols="1"/>
    <pageSetUpPr autoPageBreaks="1" fitToPage="0"/>
  </sheetPr>
  <sheetViews>
    <sheetView zoomScale="100" workbookViewId="0">
      <selection activeCell="B3" activeCellId="0" sqref="B3:C126"/>
    </sheetView>
  </sheetViews>
  <sheetFormatPr defaultColWidth="9" defaultRowHeight="13.5"/>
  <sheetData>
    <row r="1" ht="45.75" customHeight="1">
      <c r="A1" s="311" t="s">
        <v>1369</v>
      </c>
      <c r="B1" s="311"/>
      <c r="C1" s="311"/>
      <c r="D1" s="311"/>
      <c r="E1" s="311"/>
      <c r="F1" s="311"/>
      <c r="G1" s="311"/>
      <c r="H1" s="311"/>
      <c r="I1" s="312"/>
    </row>
    <row r="2" ht="67.5">
      <c r="A2" s="313" t="s">
        <v>3</v>
      </c>
      <c r="B2" s="314" t="s">
        <v>1370</v>
      </c>
      <c r="C2" s="314" t="s">
        <v>1371</v>
      </c>
      <c r="D2" s="314" t="s">
        <v>1372</v>
      </c>
      <c r="E2" s="314" t="s">
        <v>1373</v>
      </c>
      <c r="F2" s="314" t="s">
        <v>1374</v>
      </c>
      <c r="G2" s="314" t="s">
        <v>1375</v>
      </c>
      <c r="H2" s="314" t="s">
        <v>1376</v>
      </c>
    </row>
    <row r="3">
      <c r="A3" s="315">
        <v>1</v>
      </c>
      <c r="B3" s="316" t="s">
        <v>1377</v>
      </c>
      <c r="C3" s="315" t="s">
        <v>1378</v>
      </c>
      <c r="D3" s="315" t="s">
        <v>1378</v>
      </c>
      <c r="E3" s="315" t="s">
        <v>1379</v>
      </c>
      <c r="F3" s="315" t="s">
        <v>1378</v>
      </c>
      <c r="G3" s="315" t="s">
        <v>1379</v>
      </c>
      <c r="H3" s="315" t="s">
        <v>1379</v>
      </c>
    </row>
    <row r="4" ht="27">
      <c r="A4" s="315">
        <v>2</v>
      </c>
      <c r="B4" s="316" t="s">
        <v>1380</v>
      </c>
      <c r="C4" s="315" t="s">
        <v>1381</v>
      </c>
      <c r="D4" s="315" t="s">
        <v>1381</v>
      </c>
      <c r="E4" s="315" t="s">
        <v>1379</v>
      </c>
      <c r="F4" s="315" t="s">
        <v>1381</v>
      </c>
      <c r="G4" s="315" t="s">
        <v>1379</v>
      </c>
      <c r="H4" s="315" t="s">
        <v>1379</v>
      </c>
    </row>
    <row r="5" ht="27">
      <c r="A5" s="315">
        <v>3</v>
      </c>
      <c r="B5" s="316" t="s">
        <v>1382</v>
      </c>
      <c r="C5" s="315" t="s">
        <v>1381</v>
      </c>
      <c r="D5" s="315" t="s">
        <v>1381</v>
      </c>
      <c r="E5" s="315" t="s">
        <v>1381</v>
      </c>
      <c r="F5" s="315" t="s">
        <v>1381</v>
      </c>
      <c r="G5" s="315" t="s">
        <v>1379</v>
      </c>
      <c r="H5" s="315" t="s">
        <v>1379</v>
      </c>
    </row>
    <row r="6">
      <c r="A6" s="315">
        <v>4</v>
      </c>
      <c r="B6" s="316" t="s">
        <v>1383</v>
      </c>
      <c r="C6" s="315" t="s">
        <v>1381</v>
      </c>
      <c r="D6" s="315" t="s">
        <v>1381</v>
      </c>
      <c r="E6" s="315" t="s">
        <v>1379</v>
      </c>
      <c r="F6" s="315" t="s">
        <v>1381</v>
      </c>
      <c r="G6" s="315" t="s">
        <v>1379</v>
      </c>
      <c r="H6" s="315" t="s">
        <v>1381</v>
      </c>
    </row>
    <row r="7">
      <c r="A7" s="315">
        <v>5</v>
      </c>
      <c r="B7" s="316" t="s">
        <v>1384</v>
      </c>
      <c r="C7" s="315" t="s">
        <v>1378</v>
      </c>
      <c r="D7" s="315" t="s">
        <v>1378</v>
      </c>
      <c r="E7" s="315" t="s">
        <v>1378</v>
      </c>
      <c r="F7" s="315" t="s">
        <v>1378</v>
      </c>
      <c r="G7" s="315" t="s">
        <v>1379</v>
      </c>
      <c r="H7" s="315" t="s">
        <v>1379</v>
      </c>
    </row>
    <row r="8" ht="40.5">
      <c r="A8" s="315">
        <v>6</v>
      </c>
      <c r="B8" s="316" t="s">
        <v>1385</v>
      </c>
      <c r="C8" s="315" t="s">
        <v>1381</v>
      </c>
      <c r="D8" s="315" t="s">
        <v>1381</v>
      </c>
      <c r="E8" s="315" t="s">
        <v>1381</v>
      </c>
      <c r="F8" s="315" t="s">
        <v>1381</v>
      </c>
      <c r="G8" s="315" t="s">
        <v>1379</v>
      </c>
      <c r="H8" s="315" t="s">
        <v>1379</v>
      </c>
    </row>
    <row r="9">
      <c r="A9" s="315">
        <v>7</v>
      </c>
      <c r="B9" s="316" t="s">
        <v>1386</v>
      </c>
      <c r="C9" s="315" t="s">
        <v>1381</v>
      </c>
      <c r="D9" s="315" t="s">
        <v>1381</v>
      </c>
      <c r="E9" s="315" t="s">
        <v>1381</v>
      </c>
      <c r="F9" s="315" t="s">
        <v>1381</v>
      </c>
      <c r="G9" s="315" t="s">
        <v>1379</v>
      </c>
      <c r="H9" s="315" t="s">
        <v>1379</v>
      </c>
    </row>
    <row r="10">
      <c r="A10" s="315">
        <v>8</v>
      </c>
      <c r="B10" s="316" t="s">
        <v>1387</v>
      </c>
      <c r="C10" s="315" t="s">
        <v>1381</v>
      </c>
      <c r="D10" s="315" t="s">
        <v>1381</v>
      </c>
      <c r="E10" s="315" t="s">
        <v>1379</v>
      </c>
      <c r="F10" s="315" t="s">
        <v>1381</v>
      </c>
      <c r="G10" s="315" t="s">
        <v>1379</v>
      </c>
      <c r="H10" s="315" t="s">
        <v>1378</v>
      </c>
    </row>
    <row r="11">
      <c r="A11" s="315">
        <v>9</v>
      </c>
      <c r="B11" s="316" t="s">
        <v>1388</v>
      </c>
      <c r="C11" s="315" t="s">
        <v>1381</v>
      </c>
      <c r="D11" s="315" t="s">
        <v>1381</v>
      </c>
      <c r="E11" s="315" t="s">
        <v>1389</v>
      </c>
      <c r="F11" s="315" t="s">
        <v>1378</v>
      </c>
      <c r="G11" s="315" t="s">
        <v>1379</v>
      </c>
      <c r="H11" s="315" t="s">
        <v>1378</v>
      </c>
    </row>
    <row r="12">
      <c r="A12" s="315">
        <v>10</v>
      </c>
      <c r="B12" s="316" t="s">
        <v>1390</v>
      </c>
      <c r="C12" s="315" t="s">
        <v>1378</v>
      </c>
      <c r="D12" s="315" t="s">
        <v>1378</v>
      </c>
      <c r="E12" s="315" t="s">
        <v>1378</v>
      </c>
      <c r="F12" s="315" t="s">
        <v>1378</v>
      </c>
      <c r="G12" s="315" t="s">
        <v>1379</v>
      </c>
      <c r="H12" s="315" t="s">
        <v>1391</v>
      </c>
    </row>
    <row r="13">
      <c r="A13" s="315">
        <v>11</v>
      </c>
      <c r="B13" s="316" t="s">
        <v>1392</v>
      </c>
      <c r="C13" s="315" t="s">
        <v>1381</v>
      </c>
      <c r="D13" s="315" t="s">
        <v>1381</v>
      </c>
      <c r="E13" s="315" t="s">
        <v>1381</v>
      </c>
      <c r="F13" s="315" t="s">
        <v>1378</v>
      </c>
      <c r="G13" s="315" t="s">
        <v>1379</v>
      </c>
      <c r="H13" s="315" t="s">
        <v>1378</v>
      </c>
    </row>
    <row r="14">
      <c r="A14" s="315">
        <v>12</v>
      </c>
      <c r="B14" s="316" t="s">
        <v>1393</v>
      </c>
      <c r="C14" s="315" t="s">
        <v>1378</v>
      </c>
      <c r="D14" s="315" t="s">
        <v>1378</v>
      </c>
      <c r="E14" s="315" t="s">
        <v>1379</v>
      </c>
      <c r="F14" s="315" t="s">
        <v>1381</v>
      </c>
      <c r="G14" s="315" t="s">
        <v>1379</v>
      </c>
      <c r="H14" s="315" t="s">
        <v>1379</v>
      </c>
    </row>
    <row r="15">
      <c r="A15" s="315">
        <v>13</v>
      </c>
      <c r="B15" s="316" t="s">
        <v>1394</v>
      </c>
      <c r="C15" s="315" t="s">
        <v>1378</v>
      </c>
      <c r="D15" s="315" t="s">
        <v>1378</v>
      </c>
      <c r="E15" s="315" t="s">
        <v>1378</v>
      </c>
      <c r="F15" s="315" t="s">
        <v>1391</v>
      </c>
      <c r="G15" s="315" t="s">
        <v>1379</v>
      </c>
      <c r="H15" s="315" t="s">
        <v>1379</v>
      </c>
    </row>
    <row r="16">
      <c r="A16" s="315">
        <v>14</v>
      </c>
      <c r="B16" s="316" t="s">
        <v>1395</v>
      </c>
      <c r="C16" s="315" t="s">
        <v>1378</v>
      </c>
      <c r="D16" s="315" t="s">
        <v>1378</v>
      </c>
      <c r="E16" s="315" t="s">
        <v>1378</v>
      </c>
      <c r="F16" s="315" t="s">
        <v>1378</v>
      </c>
      <c r="G16" s="315" t="s">
        <v>1379</v>
      </c>
      <c r="H16" s="315" t="s">
        <v>1379</v>
      </c>
    </row>
    <row r="17">
      <c r="A17" s="315">
        <v>15</v>
      </c>
      <c r="B17" s="316" t="s">
        <v>1396</v>
      </c>
      <c r="C17" s="315" t="s">
        <v>1378</v>
      </c>
      <c r="D17" s="315" t="s">
        <v>1378</v>
      </c>
      <c r="E17" s="315" t="s">
        <v>1378</v>
      </c>
      <c r="F17" s="315" t="s">
        <v>1378</v>
      </c>
      <c r="G17" s="315" t="s">
        <v>1379</v>
      </c>
      <c r="H17" s="315" t="s">
        <v>1379</v>
      </c>
    </row>
    <row r="18">
      <c r="A18" s="315">
        <v>16</v>
      </c>
      <c r="B18" s="316" t="s">
        <v>1397</v>
      </c>
      <c r="C18" s="315" t="s">
        <v>1381</v>
      </c>
      <c r="D18" s="315" t="s">
        <v>1381</v>
      </c>
      <c r="E18" s="315" t="s">
        <v>1379</v>
      </c>
      <c r="F18" s="315" t="s">
        <v>1381</v>
      </c>
      <c r="G18" s="315" t="s">
        <v>1379</v>
      </c>
      <c r="H18" s="315" t="s">
        <v>1379</v>
      </c>
    </row>
    <row r="19">
      <c r="A19" s="315">
        <v>17</v>
      </c>
      <c r="B19" s="316" t="s">
        <v>1398</v>
      </c>
      <c r="C19" s="315" t="s">
        <v>1381</v>
      </c>
      <c r="D19" s="315" t="s">
        <v>1381</v>
      </c>
      <c r="E19" s="315" t="s">
        <v>1381</v>
      </c>
      <c r="F19" s="315" t="s">
        <v>1378</v>
      </c>
      <c r="G19" s="315" t="s">
        <v>1379</v>
      </c>
      <c r="H19" s="315" t="s">
        <v>1379</v>
      </c>
    </row>
    <row r="20">
      <c r="A20" s="315">
        <v>18</v>
      </c>
      <c r="B20" s="316" t="s">
        <v>1399</v>
      </c>
      <c r="C20" s="315" t="s">
        <v>1381</v>
      </c>
      <c r="D20" s="315" t="s">
        <v>1381</v>
      </c>
      <c r="E20" s="315" t="s">
        <v>1378</v>
      </c>
      <c r="F20" s="315" t="s">
        <v>1378</v>
      </c>
      <c r="G20" s="315" t="s">
        <v>1379</v>
      </c>
      <c r="H20" s="315" t="s">
        <v>1379</v>
      </c>
    </row>
    <row r="21">
      <c r="A21" s="315">
        <v>19</v>
      </c>
      <c r="B21" s="316" t="s">
        <v>1400</v>
      </c>
      <c r="C21" s="315" t="s">
        <v>1391</v>
      </c>
      <c r="D21" s="315" t="s">
        <v>1391</v>
      </c>
      <c r="E21" s="315"/>
      <c r="F21" s="315" t="s">
        <v>1378</v>
      </c>
      <c r="G21" s="315" t="s">
        <v>1379</v>
      </c>
      <c r="H21" s="315" t="s">
        <v>1379</v>
      </c>
    </row>
    <row r="22">
      <c r="A22" s="315">
        <v>20</v>
      </c>
      <c r="B22" s="316" t="s">
        <v>1401</v>
      </c>
      <c r="C22" s="315" t="s">
        <v>1378</v>
      </c>
      <c r="D22" s="315" t="s">
        <v>1381</v>
      </c>
      <c r="E22" s="315" t="s">
        <v>1378</v>
      </c>
      <c r="F22" s="315" t="s">
        <v>1381</v>
      </c>
      <c r="G22" s="315" t="s">
        <v>1379</v>
      </c>
      <c r="H22" s="315" t="s">
        <v>1379</v>
      </c>
    </row>
    <row r="23">
      <c r="A23" s="315">
        <v>21</v>
      </c>
      <c r="B23" s="316" t="s">
        <v>1402</v>
      </c>
      <c r="C23" s="315" t="s">
        <v>1381</v>
      </c>
      <c r="D23" s="315" t="s">
        <v>1381</v>
      </c>
      <c r="E23" s="315" t="s">
        <v>1389</v>
      </c>
      <c r="F23" s="315" t="s">
        <v>1378</v>
      </c>
      <c r="G23" s="315" t="s">
        <v>1379</v>
      </c>
      <c r="H23" s="315" t="s">
        <v>1379</v>
      </c>
    </row>
    <row r="24">
      <c r="A24" s="315">
        <v>22</v>
      </c>
      <c r="B24" s="316" t="s">
        <v>1403</v>
      </c>
      <c r="C24" s="315" t="s">
        <v>1391</v>
      </c>
      <c r="D24" s="315" t="s">
        <v>1391</v>
      </c>
      <c r="E24" s="315" t="s">
        <v>1378</v>
      </c>
      <c r="F24" s="315" t="s">
        <v>1378</v>
      </c>
      <c r="G24" s="315" t="s">
        <v>1379</v>
      </c>
      <c r="H24" s="315" t="s">
        <v>1379</v>
      </c>
    </row>
    <row r="25">
      <c r="A25" s="315">
        <v>23</v>
      </c>
      <c r="B25" s="316" t="s">
        <v>1404</v>
      </c>
      <c r="C25" s="315" t="s">
        <v>1381</v>
      </c>
      <c r="D25" s="315" t="s">
        <v>1381</v>
      </c>
      <c r="E25" s="315" t="s">
        <v>1379</v>
      </c>
      <c r="F25" s="315" t="s">
        <v>1381</v>
      </c>
      <c r="G25" s="315"/>
      <c r="H25" s="315"/>
    </row>
    <row r="26">
      <c r="A26" s="315">
        <v>24</v>
      </c>
      <c r="B26" s="316" t="s">
        <v>1405</v>
      </c>
      <c r="C26" s="315" t="s">
        <v>1381</v>
      </c>
      <c r="D26" s="315" t="s">
        <v>1381</v>
      </c>
      <c r="E26" s="315" t="s">
        <v>1378</v>
      </c>
      <c r="F26" s="315" t="s">
        <v>1381</v>
      </c>
      <c r="G26" s="315" t="s">
        <v>1379</v>
      </c>
      <c r="H26" s="315" t="s">
        <v>1381</v>
      </c>
    </row>
    <row r="27">
      <c r="A27" s="315">
        <v>25</v>
      </c>
      <c r="B27" s="316" t="s">
        <v>1406</v>
      </c>
      <c r="C27" s="315" t="s">
        <v>1378</v>
      </c>
      <c r="D27" s="315" t="s">
        <v>1378</v>
      </c>
      <c r="E27" s="315" t="s">
        <v>1381</v>
      </c>
      <c r="F27" s="315" t="s">
        <v>1378</v>
      </c>
      <c r="G27" s="315" t="s">
        <v>1379</v>
      </c>
      <c r="H27" s="315" t="s">
        <v>1391</v>
      </c>
    </row>
    <row r="28">
      <c r="A28" s="315">
        <v>26</v>
      </c>
      <c r="B28" s="316" t="s">
        <v>1407</v>
      </c>
      <c r="C28" s="315" t="s">
        <v>1378</v>
      </c>
      <c r="D28" s="315" t="s">
        <v>1378</v>
      </c>
      <c r="E28" s="315" t="s">
        <v>1378</v>
      </c>
      <c r="F28" s="315" t="s">
        <v>1391</v>
      </c>
      <c r="G28" s="315" t="s">
        <v>1379</v>
      </c>
      <c r="H28" s="315" t="s">
        <v>1391</v>
      </c>
    </row>
    <row r="29">
      <c r="A29" s="315">
        <v>27</v>
      </c>
      <c r="B29" s="316" t="s">
        <v>1408</v>
      </c>
      <c r="C29" s="315" t="s">
        <v>1381</v>
      </c>
      <c r="D29" s="315" t="s">
        <v>1381</v>
      </c>
      <c r="E29" s="315" t="s">
        <v>1379</v>
      </c>
      <c r="F29" s="315" t="s">
        <v>1378</v>
      </c>
      <c r="G29" s="315" t="s">
        <v>1379</v>
      </c>
      <c r="H29" s="315" t="s">
        <v>1379</v>
      </c>
    </row>
    <row r="30">
      <c r="A30" s="315">
        <v>28</v>
      </c>
      <c r="B30" s="316" t="s">
        <v>1409</v>
      </c>
      <c r="C30" s="315" t="s">
        <v>1381</v>
      </c>
      <c r="D30" s="315" t="s">
        <v>1378</v>
      </c>
      <c r="E30" s="315" t="s">
        <v>1389</v>
      </c>
      <c r="F30" s="315" t="s">
        <v>1378</v>
      </c>
      <c r="G30" s="315" t="s">
        <v>1410</v>
      </c>
      <c r="H30" s="315"/>
    </row>
    <row r="31">
      <c r="A31" s="315">
        <v>29</v>
      </c>
      <c r="B31" s="316" t="s">
        <v>1411</v>
      </c>
      <c r="C31" s="315" t="s">
        <v>1378</v>
      </c>
      <c r="D31" s="315" t="s">
        <v>1378</v>
      </c>
      <c r="E31" s="315" t="s">
        <v>1379</v>
      </c>
      <c r="F31" s="315" t="s">
        <v>1378</v>
      </c>
      <c r="G31" s="315" t="s">
        <v>1379</v>
      </c>
      <c r="H31" s="315" t="s">
        <v>1378</v>
      </c>
    </row>
    <row r="32">
      <c r="A32" s="315">
        <v>30</v>
      </c>
      <c r="B32" s="316" t="s">
        <v>1412</v>
      </c>
      <c r="C32" s="315" t="s">
        <v>1378</v>
      </c>
      <c r="D32" s="315" t="s">
        <v>1378</v>
      </c>
      <c r="E32" s="315" t="s">
        <v>1379</v>
      </c>
      <c r="F32" s="315" t="s">
        <v>1381</v>
      </c>
      <c r="G32" s="315"/>
      <c r="H32" s="315" t="s">
        <v>1378</v>
      </c>
    </row>
    <row r="33">
      <c r="A33" s="315">
        <v>31</v>
      </c>
      <c r="B33" s="316" t="s">
        <v>1413</v>
      </c>
      <c r="C33" s="315" t="s">
        <v>1378</v>
      </c>
      <c r="D33" s="315" t="s">
        <v>1378</v>
      </c>
      <c r="E33" s="315" t="s">
        <v>1379</v>
      </c>
      <c r="F33" s="315" t="s">
        <v>1378</v>
      </c>
      <c r="G33" s="315" t="s">
        <v>1379</v>
      </c>
      <c r="H33" s="315" t="s">
        <v>1379</v>
      </c>
    </row>
    <row r="34">
      <c r="A34" s="315">
        <v>32</v>
      </c>
      <c r="B34" s="316" t="s">
        <v>1414</v>
      </c>
      <c r="C34" s="315" t="s">
        <v>1378</v>
      </c>
      <c r="D34" s="315" t="s">
        <v>1378</v>
      </c>
      <c r="E34" s="315" t="s">
        <v>1379</v>
      </c>
      <c r="F34" s="315" t="s">
        <v>1381</v>
      </c>
      <c r="G34" s="315" t="s">
        <v>1415</v>
      </c>
      <c r="H34" s="315" t="s">
        <v>1379</v>
      </c>
    </row>
    <row r="35">
      <c r="A35" s="315">
        <v>33</v>
      </c>
      <c r="B35" s="316" t="s">
        <v>1416</v>
      </c>
      <c r="C35" s="315" t="s">
        <v>1378</v>
      </c>
      <c r="D35" s="315" t="s">
        <v>1378</v>
      </c>
      <c r="E35" s="315" t="s">
        <v>1379</v>
      </c>
      <c r="F35" s="315" t="s">
        <v>1378</v>
      </c>
      <c r="G35" s="315" t="s">
        <v>1379</v>
      </c>
      <c r="H35" s="315" t="s">
        <v>1379</v>
      </c>
    </row>
    <row r="36">
      <c r="A36" s="315">
        <v>34</v>
      </c>
      <c r="B36" s="316" t="s">
        <v>1417</v>
      </c>
      <c r="C36" s="315" t="s">
        <v>1378</v>
      </c>
      <c r="D36" s="315" t="s">
        <v>1378</v>
      </c>
      <c r="E36" s="315" t="s">
        <v>1379</v>
      </c>
      <c r="F36" s="315" t="s">
        <v>1378</v>
      </c>
      <c r="G36" s="315" t="s">
        <v>1379</v>
      </c>
      <c r="H36" s="315" t="s">
        <v>1391</v>
      </c>
    </row>
    <row r="37">
      <c r="A37" s="315">
        <v>35</v>
      </c>
      <c r="B37" s="316" t="s">
        <v>1418</v>
      </c>
      <c r="C37" s="315" t="s">
        <v>1378</v>
      </c>
      <c r="D37" s="315" t="s">
        <v>1378</v>
      </c>
      <c r="E37" s="315" t="s">
        <v>1379</v>
      </c>
      <c r="F37" s="315" t="s">
        <v>1391</v>
      </c>
      <c r="G37" s="315" t="s">
        <v>1379</v>
      </c>
      <c r="H37" s="315" t="s">
        <v>1379</v>
      </c>
    </row>
    <row r="38">
      <c r="A38" s="315">
        <v>36</v>
      </c>
      <c r="B38" s="316" t="s">
        <v>1419</v>
      </c>
      <c r="C38" s="315" t="s">
        <v>1378</v>
      </c>
      <c r="D38" s="315" t="s">
        <v>1378</v>
      </c>
      <c r="E38" s="315" t="s">
        <v>1379</v>
      </c>
      <c r="F38" s="315" t="s">
        <v>1378</v>
      </c>
      <c r="G38" s="315" t="s">
        <v>1379</v>
      </c>
      <c r="H38" s="315" t="s">
        <v>1379</v>
      </c>
    </row>
    <row r="39">
      <c r="A39" s="315">
        <v>37</v>
      </c>
      <c r="B39" s="316" t="s">
        <v>1420</v>
      </c>
      <c r="C39" s="315" t="s">
        <v>1381</v>
      </c>
      <c r="D39" s="315" t="s">
        <v>1381</v>
      </c>
      <c r="E39" s="315" t="s">
        <v>1381</v>
      </c>
      <c r="F39" s="315" t="s">
        <v>1378</v>
      </c>
      <c r="G39" s="315" t="s">
        <v>1379</v>
      </c>
      <c r="H39" s="315" t="s">
        <v>1379</v>
      </c>
    </row>
    <row r="40">
      <c r="A40" s="315">
        <v>38</v>
      </c>
      <c r="B40" s="316" t="s">
        <v>1421</v>
      </c>
      <c r="C40" s="315" t="s">
        <v>1378</v>
      </c>
      <c r="D40" s="315" t="s">
        <v>1378</v>
      </c>
      <c r="E40" s="315" t="s">
        <v>1379</v>
      </c>
      <c r="F40" s="315" t="s">
        <v>1391</v>
      </c>
      <c r="G40" s="315" t="s">
        <v>1379</v>
      </c>
      <c r="H40" s="315" t="s">
        <v>1379</v>
      </c>
    </row>
    <row r="41">
      <c r="A41" s="315">
        <v>39</v>
      </c>
      <c r="B41" s="316" t="s">
        <v>1422</v>
      </c>
      <c r="C41" s="315" t="s">
        <v>1378</v>
      </c>
      <c r="D41" s="315" t="s">
        <v>1378</v>
      </c>
      <c r="E41" s="315" t="s">
        <v>1379</v>
      </c>
      <c r="F41" s="315" t="s">
        <v>1391</v>
      </c>
      <c r="G41" s="315" t="s">
        <v>1379</v>
      </c>
      <c r="H41" s="315" t="s">
        <v>1378</v>
      </c>
    </row>
    <row r="42">
      <c r="A42" s="315">
        <v>40</v>
      </c>
      <c r="B42" s="316" t="s">
        <v>1423</v>
      </c>
      <c r="C42" s="315" t="s">
        <v>1378</v>
      </c>
      <c r="D42" s="315" t="s">
        <v>1378</v>
      </c>
      <c r="E42" s="315" t="s">
        <v>1379</v>
      </c>
      <c r="F42" s="315" t="s">
        <v>1378</v>
      </c>
      <c r="G42" s="315" t="s">
        <v>1379</v>
      </c>
      <c r="H42" s="315" t="s">
        <v>1378</v>
      </c>
    </row>
    <row r="43">
      <c r="A43" s="315">
        <v>41</v>
      </c>
      <c r="B43" s="316" t="s">
        <v>1424</v>
      </c>
      <c r="C43" s="315" t="s">
        <v>1381</v>
      </c>
      <c r="D43" s="315" t="s">
        <v>1381</v>
      </c>
      <c r="E43" s="315" t="s">
        <v>1379</v>
      </c>
      <c r="F43" s="315" t="s">
        <v>1378</v>
      </c>
      <c r="G43" s="315" t="s">
        <v>1379</v>
      </c>
      <c r="H43" s="315" t="s">
        <v>1379</v>
      </c>
    </row>
    <row r="44">
      <c r="A44" s="315">
        <v>42</v>
      </c>
      <c r="B44" s="316" t="s">
        <v>1425</v>
      </c>
      <c r="C44" s="315" t="s">
        <v>1378</v>
      </c>
      <c r="D44" s="315" t="s">
        <v>1378</v>
      </c>
      <c r="E44" s="315" t="s">
        <v>1379</v>
      </c>
      <c r="F44" s="315" t="s">
        <v>1378</v>
      </c>
      <c r="G44" s="315" t="s">
        <v>1379</v>
      </c>
      <c r="H44" s="315" t="s">
        <v>1379</v>
      </c>
    </row>
    <row r="45">
      <c r="A45" s="315">
        <v>43</v>
      </c>
      <c r="B45" s="316" t="s">
        <v>1426</v>
      </c>
      <c r="C45" s="315" t="s">
        <v>1378</v>
      </c>
      <c r="D45" s="315" t="s">
        <v>1378</v>
      </c>
      <c r="E45" s="315" t="s">
        <v>1379</v>
      </c>
      <c r="F45" s="315" t="s">
        <v>1378</v>
      </c>
      <c r="G45" s="315" t="s">
        <v>1379</v>
      </c>
      <c r="H45" s="315" t="s">
        <v>1379</v>
      </c>
    </row>
    <row r="46">
      <c r="A46" s="315">
        <v>44</v>
      </c>
      <c r="B46" s="316" t="s">
        <v>1427</v>
      </c>
      <c r="C46" s="315" t="s">
        <v>1381</v>
      </c>
      <c r="D46" s="315" t="s">
        <v>1381</v>
      </c>
      <c r="E46" s="315" t="s">
        <v>1379</v>
      </c>
      <c r="F46" s="315" t="s">
        <v>1381</v>
      </c>
      <c r="G46" s="315" t="s">
        <v>1379</v>
      </c>
      <c r="H46" s="315" t="s">
        <v>1381</v>
      </c>
    </row>
    <row r="47">
      <c r="A47" s="315">
        <v>45</v>
      </c>
      <c r="B47" s="316" t="s">
        <v>1428</v>
      </c>
      <c r="C47" s="315" t="s">
        <v>1381</v>
      </c>
      <c r="D47" s="315" t="s">
        <v>1381</v>
      </c>
      <c r="E47" s="315" t="s">
        <v>1379</v>
      </c>
      <c r="F47" s="315" t="s">
        <v>1391</v>
      </c>
      <c r="G47" s="315" t="s">
        <v>1379</v>
      </c>
      <c r="H47" s="315" t="s">
        <v>1391</v>
      </c>
    </row>
    <row r="48">
      <c r="A48" s="315">
        <v>46</v>
      </c>
      <c r="B48" s="316" t="s">
        <v>1429</v>
      </c>
      <c r="C48" s="315" t="s">
        <v>1378</v>
      </c>
      <c r="D48" s="315" t="s">
        <v>1378</v>
      </c>
      <c r="E48" s="315" t="s">
        <v>1379</v>
      </c>
      <c r="F48" s="315" t="s">
        <v>1391</v>
      </c>
      <c r="G48" s="315" t="s">
        <v>1379</v>
      </c>
      <c r="H48" s="315" t="s">
        <v>1379</v>
      </c>
    </row>
    <row r="49">
      <c r="A49" s="315">
        <v>47</v>
      </c>
      <c r="B49" s="316" t="s">
        <v>1430</v>
      </c>
      <c r="C49" s="315" t="s">
        <v>1381</v>
      </c>
      <c r="D49" s="315" t="s">
        <v>1381</v>
      </c>
      <c r="E49" s="315" t="s">
        <v>1378</v>
      </c>
      <c r="F49" s="315" t="s">
        <v>1381</v>
      </c>
      <c r="G49" s="315" t="s">
        <v>1379</v>
      </c>
      <c r="H49" s="315" t="s">
        <v>1379</v>
      </c>
    </row>
    <row r="50">
      <c r="A50" s="315">
        <v>48</v>
      </c>
      <c r="B50" s="316" t="s">
        <v>1431</v>
      </c>
      <c r="C50" s="315" t="s">
        <v>1381</v>
      </c>
      <c r="D50" s="315" t="s">
        <v>1381</v>
      </c>
      <c r="E50" s="315" t="s">
        <v>1379</v>
      </c>
      <c r="F50" s="315" t="s">
        <v>1381</v>
      </c>
      <c r="G50" s="315" t="s">
        <v>1379</v>
      </c>
      <c r="H50" s="315" t="s">
        <v>1379</v>
      </c>
    </row>
    <row r="51">
      <c r="A51" s="315">
        <v>49</v>
      </c>
      <c r="B51" s="316" t="s">
        <v>1432</v>
      </c>
      <c r="C51" s="315" t="s">
        <v>1381</v>
      </c>
      <c r="D51" s="315" t="s">
        <v>1381</v>
      </c>
      <c r="E51" s="315" t="s">
        <v>1378</v>
      </c>
      <c r="F51" s="315" t="s">
        <v>1378</v>
      </c>
      <c r="G51" s="315" t="s">
        <v>1379</v>
      </c>
      <c r="H51" s="315" t="s">
        <v>1379</v>
      </c>
    </row>
    <row r="52">
      <c r="A52" s="315">
        <v>50</v>
      </c>
      <c r="B52" s="316" t="s">
        <v>1433</v>
      </c>
      <c r="C52" s="315" t="s">
        <v>1381</v>
      </c>
      <c r="D52" s="315" t="s">
        <v>1389</v>
      </c>
      <c r="E52" s="315" t="s">
        <v>1381</v>
      </c>
      <c r="F52" s="315" t="s">
        <v>1381</v>
      </c>
      <c r="G52" s="315"/>
      <c r="H52" s="315" t="s">
        <v>1391</v>
      </c>
    </row>
    <row r="53">
      <c r="A53" s="315">
        <v>51</v>
      </c>
      <c r="B53" s="316" t="s">
        <v>1434</v>
      </c>
      <c r="C53" s="315" t="s">
        <v>1381</v>
      </c>
      <c r="D53" s="315" t="s">
        <v>1381</v>
      </c>
      <c r="E53" s="315" t="s">
        <v>1381</v>
      </c>
      <c r="F53" s="315" t="s">
        <v>1381</v>
      </c>
      <c r="G53" s="315" t="s">
        <v>1379</v>
      </c>
      <c r="H53" s="315" t="s">
        <v>1379</v>
      </c>
    </row>
    <row r="54">
      <c r="A54" s="315">
        <v>52</v>
      </c>
      <c r="B54" s="316" t="s">
        <v>1435</v>
      </c>
      <c r="C54" s="315" t="s">
        <v>1378</v>
      </c>
      <c r="D54" s="315" t="s">
        <v>1378</v>
      </c>
      <c r="E54" s="315" t="s">
        <v>1379</v>
      </c>
      <c r="F54" s="315" t="s">
        <v>1381</v>
      </c>
      <c r="G54" s="315" t="s">
        <v>1379</v>
      </c>
      <c r="H54" s="315" t="s">
        <v>1379</v>
      </c>
    </row>
    <row r="55">
      <c r="A55" s="315">
        <v>53</v>
      </c>
      <c r="B55" s="316" t="s">
        <v>1436</v>
      </c>
      <c r="C55" s="315" t="s">
        <v>1381</v>
      </c>
      <c r="D55" s="315" t="s">
        <v>1381</v>
      </c>
      <c r="E55" s="315" t="s">
        <v>1379</v>
      </c>
      <c r="F55" s="315" t="s">
        <v>1378</v>
      </c>
      <c r="G55" s="315" t="s">
        <v>1379</v>
      </c>
      <c r="H55" s="315" t="s">
        <v>1381</v>
      </c>
    </row>
    <row r="56">
      <c r="A56" s="315">
        <v>54</v>
      </c>
      <c r="B56" s="316" t="s">
        <v>1437</v>
      </c>
      <c r="C56" s="315" t="s">
        <v>1378</v>
      </c>
      <c r="D56" s="315" t="s">
        <v>1378</v>
      </c>
      <c r="E56" s="315" t="s">
        <v>1379</v>
      </c>
      <c r="F56" s="315" t="s">
        <v>1378</v>
      </c>
      <c r="G56" s="315" t="s">
        <v>1379</v>
      </c>
      <c r="H56" s="315" t="s">
        <v>1379</v>
      </c>
    </row>
    <row r="57">
      <c r="A57" s="315">
        <v>55</v>
      </c>
      <c r="B57" s="316" t="s">
        <v>1438</v>
      </c>
      <c r="C57" s="315" t="s">
        <v>1378</v>
      </c>
      <c r="D57" s="315" t="s">
        <v>1378</v>
      </c>
      <c r="E57" s="315" t="s">
        <v>1379</v>
      </c>
      <c r="F57" s="315" t="s">
        <v>1381</v>
      </c>
      <c r="G57" s="315" t="s">
        <v>1379</v>
      </c>
      <c r="H57" s="315" t="s">
        <v>1379</v>
      </c>
    </row>
    <row r="58">
      <c r="A58" s="315">
        <v>56</v>
      </c>
      <c r="B58" s="316" t="s">
        <v>1439</v>
      </c>
      <c r="C58" s="315" t="s">
        <v>1381</v>
      </c>
      <c r="D58" s="315" t="s">
        <v>1381</v>
      </c>
      <c r="E58" s="315" t="s">
        <v>1378</v>
      </c>
      <c r="F58" s="315" t="s">
        <v>1381</v>
      </c>
      <c r="G58" s="315" t="s">
        <v>1381</v>
      </c>
      <c r="H58" s="315" t="s">
        <v>1379</v>
      </c>
    </row>
    <row r="59">
      <c r="A59" s="315">
        <v>57</v>
      </c>
      <c r="B59" s="316" t="s">
        <v>1440</v>
      </c>
      <c r="C59" s="315" t="s">
        <v>1381</v>
      </c>
      <c r="D59" s="315" t="s">
        <v>1381</v>
      </c>
      <c r="E59" s="315" t="s">
        <v>1379</v>
      </c>
      <c r="F59" s="315" t="s">
        <v>1381</v>
      </c>
      <c r="G59" s="315" t="s">
        <v>1379</v>
      </c>
      <c r="H59" s="315" t="s">
        <v>1378</v>
      </c>
    </row>
    <row r="60">
      <c r="A60" s="315">
        <v>58</v>
      </c>
      <c r="B60" s="316" t="s">
        <v>1441</v>
      </c>
      <c r="C60" s="315" t="s">
        <v>1378</v>
      </c>
      <c r="D60" s="315" t="s">
        <v>1378</v>
      </c>
      <c r="E60" s="315"/>
      <c r="F60" s="315" t="s">
        <v>1378</v>
      </c>
      <c r="G60" s="315" t="s">
        <v>1381</v>
      </c>
      <c r="H60" s="315"/>
    </row>
    <row r="61">
      <c r="A61" s="315">
        <v>59</v>
      </c>
      <c r="B61" s="316" t="s">
        <v>1442</v>
      </c>
      <c r="C61" s="315" t="s">
        <v>1378</v>
      </c>
      <c r="D61" s="315" t="s">
        <v>1378</v>
      </c>
      <c r="E61" s="315" t="s">
        <v>1391</v>
      </c>
      <c r="F61" s="315" t="s">
        <v>1378</v>
      </c>
      <c r="G61" s="315" t="s">
        <v>1379</v>
      </c>
      <c r="H61" s="315" t="s">
        <v>1379</v>
      </c>
    </row>
    <row r="62">
      <c r="A62" s="315">
        <v>60</v>
      </c>
      <c r="B62" s="316" t="s">
        <v>1443</v>
      </c>
      <c r="C62" s="315" t="s">
        <v>1378</v>
      </c>
      <c r="D62" s="315" t="s">
        <v>1378</v>
      </c>
      <c r="E62" s="315" t="s">
        <v>1379</v>
      </c>
      <c r="F62" s="315" t="s">
        <v>1378</v>
      </c>
      <c r="G62" s="315" t="s">
        <v>1379</v>
      </c>
      <c r="H62" s="315" t="s">
        <v>1379</v>
      </c>
    </row>
    <row r="63">
      <c r="A63" s="315">
        <v>61</v>
      </c>
      <c r="B63" s="316" t="s">
        <v>1444</v>
      </c>
      <c r="C63" s="315" t="s">
        <v>1378</v>
      </c>
      <c r="D63" s="315" t="s">
        <v>1378</v>
      </c>
      <c r="E63" s="315" t="s">
        <v>1379</v>
      </c>
      <c r="F63" s="315" t="s">
        <v>1378</v>
      </c>
      <c r="G63" s="315" t="s">
        <v>1379</v>
      </c>
      <c r="H63" s="315" t="s">
        <v>1379</v>
      </c>
    </row>
    <row r="64">
      <c r="A64" s="315">
        <v>62</v>
      </c>
      <c r="B64" s="316" t="s">
        <v>1445</v>
      </c>
      <c r="C64" s="315" t="s">
        <v>1378</v>
      </c>
      <c r="D64" s="315" t="s">
        <v>1378</v>
      </c>
      <c r="E64" s="315" t="s">
        <v>1379</v>
      </c>
      <c r="F64" s="315" t="s">
        <v>1378</v>
      </c>
      <c r="G64" s="315" t="s">
        <v>1379</v>
      </c>
      <c r="H64" s="315" t="s">
        <v>1379</v>
      </c>
    </row>
    <row r="65">
      <c r="A65" s="315">
        <v>63</v>
      </c>
      <c r="B65" s="316" t="s">
        <v>1446</v>
      </c>
      <c r="C65" s="315" t="s">
        <v>1381</v>
      </c>
      <c r="D65" s="315" t="s">
        <v>1381</v>
      </c>
      <c r="E65" s="315" t="s">
        <v>1379</v>
      </c>
      <c r="F65" s="315" t="s">
        <v>1381</v>
      </c>
      <c r="G65" s="315" t="s">
        <v>1379</v>
      </c>
      <c r="H65" s="315" t="s">
        <v>1379</v>
      </c>
    </row>
    <row r="66">
      <c r="A66" s="315">
        <v>64</v>
      </c>
      <c r="B66" s="316" t="s">
        <v>1447</v>
      </c>
      <c r="C66" s="315" t="s">
        <v>1381</v>
      </c>
      <c r="D66" s="315" t="s">
        <v>1381</v>
      </c>
      <c r="E66" s="315" t="s">
        <v>1379</v>
      </c>
      <c r="F66" s="315" t="s">
        <v>1381</v>
      </c>
      <c r="G66" s="315" t="s">
        <v>1379</v>
      </c>
      <c r="H66" s="315" t="s">
        <v>1379</v>
      </c>
    </row>
    <row r="67">
      <c r="A67" s="315">
        <v>65</v>
      </c>
      <c r="B67" s="316" t="s">
        <v>1448</v>
      </c>
      <c r="C67" s="315" t="s">
        <v>1378</v>
      </c>
      <c r="D67" s="315" t="s">
        <v>1378</v>
      </c>
      <c r="E67" s="315" t="s">
        <v>1379</v>
      </c>
      <c r="F67" s="315" t="s">
        <v>1378</v>
      </c>
      <c r="G67" s="315" t="s">
        <v>1379</v>
      </c>
      <c r="H67" s="315" t="s">
        <v>1379</v>
      </c>
    </row>
    <row r="68">
      <c r="A68" s="315">
        <v>66</v>
      </c>
      <c r="B68" s="316" t="s">
        <v>1449</v>
      </c>
      <c r="C68" s="315" t="s">
        <v>1381</v>
      </c>
      <c r="D68" s="315" t="s">
        <v>1381</v>
      </c>
      <c r="E68" s="315" t="s">
        <v>1379</v>
      </c>
      <c r="F68" s="315" t="s">
        <v>1381</v>
      </c>
      <c r="G68" s="315" t="s">
        <v>1379</v>
      </c>
      <c r="H68" s="315" t="s">
        <v>1379</v>
      </c>
    </row>
    <row r="69">
      <c r="A69" s="315">
        <v>67</v>
      </c>
      <c r="B69" s="316" t="s">
        <v>1450</v>
      </c>
      <c r="C69" s="315" t="s">
        <v>1381</v>
      </c>
      <c r="D69" s="315" t="s">
        <v>1381</v>
      </c>
      <c r="E69" s="315" t="s">
        <v>1379</v>
      </c>
      <c r="F69" s="315" t="s">
        <v>1381</v>
      </c>
      <c r="G69" s="315" t="s">
        <v>1379</v>
      </c>
      <c r="H69" s="315" t="s">
        <v>1379</v>
      </c>
    </row>
    <row r="70">
      <c r="A70" s="315">
        <v>68</v>
      </c>
      <c r="B70" s="316" t="s">
        <v>1451</v>
      </c>
      <c r="C70" s="315" t="s">
        <v>1381</v>
      </c>
      <c r="D70" s="315" t="s">
        <v>1381</v>
      </c>
      <c r="E70" s="315" t="s">
        <v>1378</v>
      </c>
      <c r="F70" s="315" t="s">
        <v>1378</v>
      </c>
      <c r="G70" s="315" t="s">
        <v>1378</v>
      </c>
      <c r="H70" s="315" t="s">
        <v>1378</v>
      </c>
    </row>
    <row r="71" ht="27">
      <c r="A71" s="315">
        <v>69</v>
      </c>
      <c r="B71" s="316" t="s">
        <v>1452</v>
      </c>
      <c r="C71" s="315" t="s">
        <v>1378</v>
      </c>
      <c r="D71" s="315" t="s">
        <v>1378</v>
      </c>
      <c r="E71" s="315" t="s">
        <v>1379</v>
      </c>
      <c r="F71" s="315" t="s">
        <v>1381</v>
      </c>
      <c r="G71" s="315" t="s">
        <v>1378</v>
      </c>
      <c r="H71" s="315" t="s">
        <v>1378</v>
      </c>
    </row>
    <row r="72">
      <c r="A72" s="315">
        <v>70</v>
      </c>
      <c r="B72" s="316" t="s">
        <v>1453</v>
      </c>
      <c r="C72" s="315" t="s">
        <v>1378</v>
      </c>
      <c r="D72" s="315" t="s">
        <v>1378</v>
      </c>
      <c r="E72" s="315" t="s">
        <v>1378</v>
      </c>
      <c r="F72" s="315" t="s">
        <v>1378</v>
      </c>
      <c r="G72" s="315" t="s">
        <v>1379</v>
      </c>
      <c r="H72" s="315" t="s">
        <v>1378</v>
      </c>
    </row>
    <row r="73">
      <c r="A73" s="315">
        <v>71</v>
      </c>
      <c r="B73" s="316" t="s">
        <v>1454</v>
      </c>
      <c r="C73" s="315" t="s">
        <v>1378</v>
      </c>
      <c r="D73" s="315" t="s">
        <v>1378</v>
      </c>
      <c r="E73" s="315" t="s">
        <v>1391</v>
      </c>
      <c r="F73" s="315" t="s">
        <v>1378</v>
      </c>
      <c r="G73" s="315" t="s">
        <v>1379</v>
      </c>
      <c r="H73" s="315" t="s">
        <v>1391</v>
      </c>
    </row>
    <row r="74">
      <c r="A74" s="315">
        <v>72</v>
      </c>
      <c r="B74" s="316" t="s">
        <v>1455</v>
      </c>
      <c r="C74" s="315" t="s">
        <v>1378</v>
      </c>
      <c r="D74" s="315" t="s">
        <v>1378</v>
      </c>
      <c r="E74" s="315" t="s">
        <v>1378</v>
      </c>
      <c r="F74" s="315" t="s">
        <v>1381</v>
      </c>
      <c r="G74" s="315" t="s">
        <v>1379</v>
      </c>
      <c r="H74" s="315" t="s">
        <v>1379</v>
      </c>
    </row>
    <row r="75">
      <c r="A75" s="315">
        <v>73</v>
      </c>
      <c r="B75" s="316" t="s">
        <v>1456</v>
      </c>
      <c r="C75" s="315" t="s">
        <v>1381</v>
      </c>
      <c r="D75" s="315" t="s">
        <v>1381</v>
      </c>
      <c r="E75" s="315" t="s">
        <v>1379</v>
      </c>
      <c r="F75" s="315" t="s">
        <v>1381</v>
      </c>
      <c r="G75" s="315" t="s">
        <v>1379</v>
      </c>
      <c r="H75" s="315" t="s">
        <v>1381</v>
      </c>
    </row>
    <row r="76">
      <c r="A76" s="315">
        <v>74</v>
      </c>
      <c r="B76" s="316" t="s">
        <v>1457</v>
      </c>
      <c r="C76" s="315" t="s">
        <v>1381</v>
      </c>
      <c r="D76" s="315" t="s">
        <v>1381</v>
      </c>
      <c r="E76" s="315" t="s">
        <v>1379</v>
      </c>
      <c r="F76" s="315" t="s">
        <v>1381</v>
      </c>
      <c r="G76" s="315" t="s">
        <v>1379</v>
      </c>
      <c r="H76" s="315" t="s">
        <v>1379</v>
      </c>
    </row>
    <row r="77">
      <c r="A77" s="315">
        <v>75</v>
      </c>
      <c r="B77" s="316" t="s">
        <v>1458</v>
      </c>
      <c r="C77" s="315" t="s">
        <v>1381</v>
      </c>
      <c r="D77" s="315" t="s">
        <v>1381</v>
      </c>
      <c r="E77" s="315" t="s">
        <v>1378</v>
      </c>
      <c r="F77" s="315" t="s">
        <v>1389</v>
      </c>
      <c r="G77" s="315" t="s">
        <v>1379</v>
      </c>
      <c r="H77" s="315" t="s">
        <v>1378</v>
      </c>
    </row>
    <row r="78">
      <c r="A78" s="315">
        <v>76</v>
      </c>
      <c r="B78" s="316" t="s">
        <v>1459</v>
      </c>
      <c r="C78" s="315" t="s">
        <v>1378</v>
      </c>
      <c r="D78" s="315" t="s">
        <v>1378</v>
      </c>
      <c r="E78" s="315" t="s">
        <v>1379</v>
      </c>
      <c r="F78" s="315" t="s">
        <v>1378</v>
      </c>
      <c r="G78" s="315" t="s">
        <v>1460</v>
      </c>
      <c r="H78" s="315"/>
    </row>
    <row r="79">
      <c r="A79" s="315">
        <v>77</v>
      </c>
      <c r="B79" s="316" t="s">
        <v>1461</v>
      </c>
      <c r="C79" s="315" t="s">
        <v>1378</v>
      </c>
      <c r="D79" s="315" t="s">
        <v>1381</v>
      </c>
      <c r="E79" s="315" t="s">
        <v>1378</v>
      </c>
      <c r="F79" s="315" t="s">
        <v>1378</v>
      </c>
      <c r="G79" s="315" t="s">
        <v>1379</v>
      </c>
      <c r="H79" s="315" t="s">
        <v>1379</v>
      </c>
    </row>
    <row r="80">
      <c r="A80" s="315">
        <v>78</v>
      </c>
      <c r="B80" s="316" t="s">
        <v>1462</v>
      </c>
      <c r="C80" s="315" t="s">
        <v>1381</v>
      </c>
      <c r="D80" s="315" t="s">
        <v>1381</v>
      </c>
      <c r="E80" s="315" t="s">
        <v>1391</v>
      </c>
      <c r="F80" s="315" t="s">
        <v>1381</v>
      </c>
      <c r="G80" s="315" t="s">
        <v>1379</v>
      </c>
      <c r="H80" s="315" t="s">
        <v>1379</v>
      </c>
    </row>
    <row r="81">
      <c r="A81" s="315">
        <v>79</v>
      </c>
      <c r="B81" s="316" t="s">
        <v>1463</v>
      </c>
      <c r="C81" s="315" t="s">
        <v>1381</v>
      </c>
      <c r="D81" s="315" t="s">
        <v>1381</v>
      </c>
      <c r="E81" s="315" t="s">
        <v>1379</v>
      </c>
      <c r="F81" s="315" t="s">
        <v>1378</v>
      </c>
      <c r="G81" s="315" t="s">
        <v>1379</v>
      </c>
      <c r="H81" s="315" t="s">
        <v>1379</v>
      </c>
    </row>
    <row r="82">
      <c r="A82" s="315">
        <v>80</v>
      </c>
      <c r="B82" s="316" t="s">
        <v>1464</v>
      </c>
      <c r="C82" s="315" t="s">
        <v>1378</v>
      </c>
      <c r="D82" s="315" t="s">
        <v>1378</v>
      </c>
      <c r="E82" s="315" t="s">
        <v>1379</v>
      </c>
      <c r="F82" s="315" t="s">
        <v>1381</v>
      </c>
      <c r="G82" s="315" t="s">
        <v>1379</v>
      </c>
      <c r="H82" s="315" t="s">
        <v>1379</v>
      </c>
    </row>
    <row r="83">
      <c r="A83" s="315">
        <v>81</v>
      </c>
      <c r="B83" s="316" t="s">
        <v>1465</v>
      </c>
      <c r="C83" s="315" t="s">
        <v>1381</v>
      </c>
      <c r="D83" s="315" t="s">
        <v>1381</v>
      </c>
      <c r="E83" s="315" t="s">
        <v>1381</v>
      </c>
      <c r="F83" s="315" t="s">
        <v>1381</v>
      </c>
      <c r="G83" s="315" t="s">
        <v>1379</v>
      </c>
      <c r="H83" s="315" t="s">
        <v>1379</v>
      </c>
    </row>
    <row r="84">
      <c r="A84" s="315">
        <v>82</v>
      </c>
      <c r="B84" s="316" t="s">
        <v>1466</v>
      </c>
      <c r="C84" s="315" t="s">
        <v>1378</v>
      </c>
      <c r="D84" s="315" t="s">
        <v>1378</v>
      </c>
      <c r="E84" s="315" t="s">
        <v>1391</v>
      </c>
      <c r="F84" s="315" t="s">
        <v>1378</v>
      </c>
      <c r="G84" s="315" t="s">
        <v>1379</v>
      </c>
      <c r="H84" s="315" t="s">
        <v>1379</v>
      </c>
    </row>
    <row r="85">
      <c r="A85" s="315">
        <v>83</v>
      </c>
      <c r="B85" s="316" t="s">
        <v>1467</v>
      </c>
      <c r="C85" s="315" t="s">
        <v>1378</v>
      </c>
      <c r="D85" s="315" t="s">
        <v>1378</v>
      </c>
      <c r="E85" s="315" t="s">
        <v>1391</v>
      </c>
      <c r="F85" s="315" t="s">
        <v>1378</v>
      </c>
      <c r="G85" s="315" t="s">
        <v>1379</v>
      </c>
      <c r="H85" s="315" t="s">
        <v>1379</v>
      </c>
    </row>
    <row r="86">
      <c r="A86" s="315">
        <v>84</v>
      </c>
      <c r="B86" s="316" t="s">
        <v>1468</v>
      </c>
      <c r="C86" s="315" t="s">
        <v>1378</v>
      </c>
      <c r="D86" s="315" t="s">
        <v>1378</v>
      </c>
      <c r="E86" s="315" t="s">
        <v>1379</v>
      </c>
      <c r="F86" s="315" t="s">
        <v>1381</v>
      </c>
      <c r="G86" s="315" t="s">
        <v>1379</v>
      </c>
      <c r="H86" s="315" t="s">
        <v>1379</v>
      </c>
    </row>
    <row r="87">
      <c r="A87" s="315">
        <v>85</v>
      </c>
      <c r="B87" s="316" t="s">
        <v>1469</v>
      </c>
      <c r="C87" s="315" t="s">
        <v>1378</v>
      </c>
      <c r="D87" s="315" t="s">
        <v>1378</v>
      </c>
      <c r="E87" s="315" t="s">
        <v>1391</v>
      </c>
      <c r="F87" s="315" t="s">
        <v>1378</v>
      </c>
      <c r="G87" s="315" t="s">
        <v>1378</v>
      </c>
      <c r="H87" s="315" t="s">
        <v>1379</v>
      </c>
    </row>
    <row r="88">
      <c r="A88" s="315">
        <v>86</v>
      </c>
      <c r="B88" s="316" t="s">
        <v>1470</v>
      </c>
      <c r="C88" s="315" t="s">
        <v>1381</v>
      </c>
      <c r="D88" s="315" t="s">
        <v>1381</v>
      </c>
      <c r="E88" s="315" t="s">
        <v>1379</v>
      </c>
      <c r="F88" s="315" t="s">
        <v>1378</v>
      </c>
      <c r="G88" s="315" t="s">
        <v>1379</v>
      </c>
      <c r="H88" s="315" t="s">
        <v>1391</v>
      </c>
    </row>
    <row r="89">
      <c r="A89" s="315">
        <v>87</v>
      </c>
      <c r="B89" s="316" t="s">
        <v>1471</v>
      </c>
      <c r="C89" s="315" t="s">
        <v>1381</v>
      </c>
      <c r="D89" s="315" t="s">
        <v>1381</v>
      </c>
      <c r="E89" s="315" t="s">
        <v>1378</v>
      </c>
      <c r="F89" s="315" t="s">
        <v>1378</v>
      </c>
      <c r="G89" s="315" t="s">
        <v>1391</v>
      </c>
      <c r="H89" s="315" t="s">
        <v>1378</v>
      </c>
    </row>
    <row r="90">
      <c r="A90" s="315">
        <v>88</v>
      </c>
      <c r="B90" s="316" t="s">
        <v>1472</v>
      </c>
      <c r="C90" s="315" t="s">
        <v>1381</v>
      </c>
      <c r="D90" s="315" t="s">
        <v>1381</v>
      </c>
      <c r="E90" s="315" t="s">
        <v>1379</v>
      </c>
      <c r="F90" s="315" t="s">
        <v>1378</v>
      </c>
      <c r="G90" s="315" t="s">
        <v>1379</v>
      </c>
      <c r="H90" s="315" t="s">
        <v>1378</v>
      </c>
    </row>
    <row r="91">
      <c r="A91" s="315">
        <v>89</v>
      </c>
      <c r="B91" s="316" t="s">
        <v>1473</v>
      </c>
      <c r="C91" s="315" t="s">
        <v>1381</v>
      </c>
      <c r="D91" s="315" t="s">
        <v>1381</v>
      </c>
      <c r="E91" s="315" t="s">
        <v>1378</v>
      </c>
      <c r="F91" s="315" t="s">
        <v>1378</v>
      </c>
      <c r="G91" s="315" t="s">
        <v>1379</v>
      </c>
      <c r="H91" s="315" t="s">
        <v>1378</v>
      </c>
    </row>
    <row r="92">
      <c r="A92" s="315">
        <v>90</v>
      </c>
      <c r="B92" s="316" t="s">
        <v>1474</v>
      </c>
      <c r="C92" s="315" t="s">
        <v>1378</v>
      </c>
      <c r="D92" s="315" t="s">
        <v>1378</v>
      </c>
      <c r="E92" s="315" t="s">
        <v>1379</v>
      </c>
      <c r="F92" s="315" t="s">
        <v>1378</v>
      </c>
      <c r="G92" s="315" t="s">
        <v>1379</v>
      </c>
      <c r="H92" s="315" t="s">
        <v>1378</v>
      </c>
    </row>
    <row r="93">
      <c r="A93" s="315">
        <v>91</v>
      </c>
      <c r="B93" s="316" t="s">
        <v>1475</v>
      </c>
      <c r="C93" s="315" t="s">
        <v>1389</v>
      </c>
      <c r="D93" s="315" t="s">
        <v>1389</v>
      </c>
      <c r="E93" s="315" t="s">
        <v>1389</v>
      </c>
      <c r="F93" s="315" t="s">
        <v>1389</v>
      </c>
      <c r="G93" s="315" t="s">
        <v>1381</v>
      </c>
      <c r="H93" s="315" t="s">
        <v>1381</v>
      </c>
    </row>
    <row r="94">
      <c r="A94" s="315">
        <v>92</v>
      </c>
      <c r="B94" s="316" t="s">
        <v>1476</v>
      </c>
      <c r="C94" s="315" t="s">
        <v>1381</v>
      </c>
      <c r="D94" s="315" t="s">
        <v>1381</v>
      </c>
      <c r="E94" s="315" t="s">
        <v>1389</v>
      </c>
      <c r="F94" s="315" t="s">
        <v>1389</v>
      </c>
      <c r="G94" s="315" t="s">
        <v>1379</v>
      </c>
      <c r="H94" s="315" t="s">
        <v>1381</v>
      </c>
    </row>
    <row r="95">
      <c r="A95" s="315">
        <v>93</v>
      </c>
      <c r="B95" s="316" t="s">
        <v>1477</v>
      </c>
      <c r="C95" s="315" t="s">
        <v>1381</v>
      </c>
      <c r="D95" s="315" t="s">
        <v>1381</v>
      </c>
      <c r="E95" s="315" t="s">
        <v>1379</v>
      </c>
      <c r="F95" s="315" t="s">
        <v>1381</v>
      </c>
      <c r="G95" s="315" t="s">
        <v>1381</v>
      </c>
      <c r="H95" s="315" t="s">
        <v>1381</v>
      </c>
    </row>
    <row r="96">
      <c r="A96" s="315">
        <v>94</v>
      </c>
      <c r="B96" s="316" t="s">
        <v>1478</v>
      </c>
      <c r="C96" s="315" t="s">
        <v>1381</v>
      </c>
      <c r="D96" s="315" t="s">
        <v>1389</v>
      </c>
      <c r="E96" s="315" t="s">
        <v>1389</v>
      </c>
      <c r="F96" s="315" t="s">
        <v>1389</v>
      </c>
      <c r="G96" s="315" t="s">
        <v>1379</v>
      </c>
      <c r="H96" s="315" t="s">
        <v>1381</v>
      </c>
    </row>
    <row r="97">
      <c r="A97" s="315">
        <v>95</v>
      </c>
      <c r="B97" s="316" t="s">
        <v>1479</v>
      </c>
      <c r="C97" s="315" t="s">
        <v>1381</v>
      </c>
      <c r="D97" s="315" t="s">
        <v>1389</v>
      </c>
      <c r="E97" s="315" t="s">
        <v>1389</v>
      </c>
      <c r="F97" s="315" t="s">
        <v>1381</v>
      </c>
      <c r="G97" s="315" t="s">
        <v>1379</v>
      </c>
      <c r="H97" s="315" t="s">
        <v>1379</v>
      </c>
    </row>
    <row r="98">
      <c r="A98" s="315">
        <v>96</v>
      </c>
      <c r="B98" s="316" t="s">
        <v>1480</v>
      </c>
      <c r="C98" s="315" t="s">
        <v>1381</v>
      </c>
      <c r="D98" s="315" t="s">
        <v>1381</v>
      </c>
      <c r="E98" s="315" t="s">
        <v>1379</v>
      </c>
      <c r="F98" s="315" t="s">
        <v>1389</v>
      </c>
      <c r="G98" s="315" t="s">
        <v>1379</v>
      </c>
      <c r="H98" s="315" t="s">
        <v>1379</v>
      </c>
    </row>
    <row r="99">
      <c r="A99" s="315">
        <v>97</v>
      </c>
      <c r="B99" s="316" t="s">
        <v>1481</v>
      </c>
      <c r="C99" s="315" t="s">
        <v>1381</v>
      </c>
      <c r="D99" s="315" t="s">
        <v>1381</v>
      </c>
      <c r="E99" s="315" t="s">
        <v>1379</v>
      </c>
      <c r="F99" s="315" t="s">
        <v>1389</v>
      </c>
      <c r="G99" s="315" t="s">
        <v>1379</v>
      </c>
      <c r="H99" s="315" t="s">
        <v>1381</v>
      </c>
    </row>
    <row r="100">
      <c r="A100" s="315">
        <v>98</v>
      </c>
      <c r="B100" s="316" t="s">
        <v>1482</v>
      </c>
      <c r="C100" s="315" t="s">
        <v>1381</v>
      </c>
      <c r="D100" s="315" t="s">
        <v>1381</v>
      </c>
      <c r="E100" s="315" t="s">
        <v>1379</v>
      </c>
      <c r="F100" s="315" t="s">
        <v>1381</v>
      </c>
      <c r="G100" s="315" t="s">
        <v>1389</v>
      </c>
      <c r="H100" s="315" t="s">
        <v>1381</v>
      </c>
    </row>
    <row r="101">
      <c r="A101" s="315">
        <v>99</v>
      </c>
      <c r="B101" s="316" t="s">
        <v>1483</v>
      </c>
      <c r="C101" s="315" t="s">
        <v>1378</v>
      </c>
      <c r="D101" s="315" t="s">
        <v>1378</v>
      </c>
      <c r="E101" s="315" t="s">
        <v>1391</v>
      </c>
      <c r="F101" s="315" t="s">
        <v>1378</v>
      </c>
      <c r="G101" s="315" t="s">
        <v>1378</v>
      </c>
      <c r="H101" s="315" t="s">
        <v>1379</v>
      </c>
    </row>
    <row r="102">
      <c r="A102" s="315">
        <v>100</v>
      </c>
      <c r="B102" s="316" t="s">
        <v>1484</v>
      </c>
      <c r="C102" s="315" t="s">
        <v>1381</v>
      </c>
      <c r="D102" s="315" t="s">
        <v>1381</v>
      </c>
      <c r="E102" s="315" t="s">
        <v>1378</v>
      </c>
      <c r="F102" s="315" t="s">
        <v>1391</v>
      </c>
      <c r="G102" s="315" t="s">
        <v>1379</v>
      </c>
      <c r="H102" s="315" t="s">
        <v>1391</v>
      </c>
    </row>
    <row r="103">
      <c r="A103" s="315">
        <v>101</v>
      </c>
      <c r="B103" s="316" t="s">
        <v>1485</v>
      </c>
      <c r="C103" s="315" t="s">
        <v>1381</v>
      </c>
      <c r="D103" s="315" t="s">
        <v>1378</v>
      </c>
      <c r="E103" s="315" t="s">
        <v>1378</v>
      </c>
      <c r="F103" s="315" t="s">
        <v>1378</v>
      </c>
      <c r="G103" s="315" t="s">
        <v>1378</v>
      </c>
      <c r="H103" s="315" t="s">
        <v>1379</v>
      </c>
    </row>
    <row r="104">
      <c r="A104" s="315">
        <v>102</v>
      </c>
      <c r="B104" s="316" t="s">
        <v>1486</v>
      </c>
      <c r="C104" s="315" t="s">
        <v>1381</v>
      </c>
      <c r="D104" s="315" t="s">
        <v>1381</v>
      </c>
      <c r="E104" s="315" t="s">
        <v>1379</v>
      </c>
      <c r="F104" s="315" t="s">
        <v>1381</v>
      </c>
      <c r="G104" s="315" t="s">
        <v>1379</v>
      </c>
      <c r="H104" s="315" t="s">
        <v>1378</v>
      </c>
    </row>
    <row r="105">
      <c r="A105" s="315">
        <v>103</v>
      </c>
      <c r="B105" s="316" t="s">
        <v>1487</v>
      </c>
      <c r="C105" s="315" t="s">
        <v>1378</v>
      </c>
      <c r="D105" s="315" t="s">
        <v>1378</v>
      </c>
      <c r="E105" s="315" t="s">
        <v>1379</v>
      </c>
      <c r="F105" s="315" t="s">
        <v>1381</v>
      </c>
      <c r="G105" s="315" t="s">
        <v>1379</v>
      </c>
      <c r="H105" s="315" t="s">
        <v>1379</v>
      </c>
    </row>
    <row r="106">
      <c r="A106" s="315">
        <v>104</v>
      </c>
      <c r="B106" s="316" t="s">
        <v>1488</v>
      </c>
      <c r="C106" s="315" t="s">
        <v>1381</v>
      </c>
      <c r="D106" s="315" t="s">
        <v>1381</v>
      </c>
      <c r="E106" s="315" t="s">
        <v>1378</v>
      </c>
      <c r="F106" s="315" t="s">
        <v>1381</v>
      </c>
      <c r="G106" s="315" t="s">
        <v>1379</v>
      </c>
      <c r="H106" s="315" t="s">
        <v>1379</v>
      </c>
    </row>
    <row r="107">
      <c r="A107" s="315">
        <v>105</v>
      </c>
      <c r="B107" s="316" t="s">
        <v>1489</v>
      </c>
      <c r="C107" s="315" t="s">
        <v>1381</v>
      </c>
      <c r="D107" s="315" t="s">
        <v>1381</v>
      </c>
      <c r="E107" s="315" t="s">
        <v>1379</v>
      </c>
      <c r="F107" s="315" t="s">
        <v>1378</v>
      </c>
      <c r="G107" s="315" t="s">
        <v>1379</v>
      </c>
      <c r="H107" s="315" t="s">
        <v>1379</v>
      </c>
    </row>
    <row r="108">
      <c r="A108" s="315">
        <v>106</v>
      </c>
      <c r="B108" s="316" t="s">
        <v>1490</v>
      </c>
      <c r="C108" s="315" t="s">
        <v>1381</v>
      </c>
      <c r="D108" s="315" t="s">
        <v>1381</v>
      </c>
      <c r="E108" s="315" t="s">
        <v>1381</v>
      </c>
      <c r="F108" s="315" t="s">
        <v>1378</v>
      </c>
      <c r="G108" s="315" t="s">
        <v>1379</v>
      </c>
      <c r="H108" s="315" t="s">
        <v>1379</v>
      </c>
    </row>
    <row r="109">
      <c r="A109" s="315">
        <v>107</v>
      </c>
      <c r="B109" s="316" t="s">
        <v>1491</v>
      </c>
      <c r="C109" s="315" t="s">
        <v>1378</v>
      </c>
      <c r="D109" s="315" t="s">
        <v>1378</v>
      </c>
      <c r="E109" s="315" t="s">
        <v>1379</v>
      </c>
      <c r="F109" s="315" t="s">
        <v>1378</v>
      </c>
      <c r="G109" s="315" t="s">
        <v>1379</v>
      </c>
      <c r="H109" s="315" t="s">
        <v>1379</v>
      </c>
    </row>
    <row r="110">
      <c r="A110" s="315">
        <v>108</v>
      </c>
      <c r="B110" s="316" t="s">
        <v>1492</v>
      </c>
      <c r="C110" s="315" t="s">
        <v>1381</v>
      </c>
      <c r="D110" s="315" t="s">
        <v>1381</v>
      </c>
      <c r="E110" s="315" t="s">
        <v>1379</v>
      </c>
      <c r="F110" s="315" t="s">
        <v>1381</v>
      </c>
      <c r="G110" s="315" t="s">
        <v>1379</v>
      </c>
      <c r="H110" s="315" t="s">
        <v>1379</v>
      </c>
    </row>
    <row r="111" ht="27">
      <c r="A111" s="315">
        <v>109</v>
      </c>
      <c r="B111" s="316" t="s">
        <v>1493</v>
      </c>
      <c r="C111" s="315" t="s">
        <v>1378</v>
      </c>
      <c r="D111" s="315" t="s">
        <v>1378</v>
      </c>
      <c r="E111" s="315" t="s">
        <v>1378</v>
      </c>
      <c r="F111" s="315" t="s">
        <v>1378</v>
      </c>
      <c r="G111" s="315" t="s">
        <v>1379</v>
      </c>
      <c r="H111" s="315" t="s">
        <v>1378</v>
      </c>
    </row>
    <row r="112">
      <c r="A112" s="315">
        <v>110</v>
      </c>
      <c r="B112" s="316" t="s">
        <v>1494</v>
      </c>
      <c r="C112" s="315" t="s">
        <v>1381</v>
      </c>
      <c r="D112" s="315" t="s">
        <v>1381</v>
      </c>
      <c r="E112" s="315" t="s">
        <v>1378</v>
      </c>
      <c r="F112" s="315" t="s">
        <v>1378</v>
      </c>
      <c r="G112" s="315" t="s">
        <v>1379</v>
      </c>
      <c r="H112" s="315" t="s">
        <v>1391</v>
      </c>
    </row>
    <row r="113">
      <c r="A113" s="315">
        <v>111</v>
      </c>
      <c r="B113" s="316" t="s">
        <v>1495</v>
      </c>
      <c r="C113" s="315" t="s">
        <v>1378</v>
      </c>
      <c r="D113" s="315" t="s">
        <v>1378</v>
      </c>
      <c r="E113" s="315" t="s">
        <v>1378</v>
      </c>
      <c r="F113" s="315" t="s">
        <v>1381</v>
      </c>
      <c r="G113" s="315" t="s">
        <v>1379</v>
      </c>
      <c r="H113" s="315" t="s">
        <v>1381</v>
      </c>
    </row>
    <row r="114">
      <c r="A114" s="315">
        <v>112</v>
      </c>
      <c r="B114" s="316" t="s">
        <v>1496</v>
      </c>
      <c r="C114" s="315" t="s">
        <v>1381</v>
      </c>
      <c r="D114" s="315" t="s">
        <v>1381</v>
      </c>
      <c r="E114" s="315" t="s">
        <v>1378</v>
      </c>
      <c r="F114" s="315" t="s">
        <v>1378</v>
      </c>
      <c r="G114" s="315" t="s">
        <v>1379</v>
      </c>
      <c r="H114" s="315" t="s">
        <v>1379</v>
      </c>
    </row>
    <row r="115">
      <c r="A115" s="315">
        <v>113</v>
      </c>
      <c r="B115" s="316" t="s">
        <v>1497</v>
      </c>
      <c r="C115" s="315" t="s">
        <v>1381</v>
      </c>
      <c r="D115" s="315" t="s">
        <v>1381</v>
      </c>
      <c r="E115" s="315" t="s">
        <v>1391</v>
      </c>
      <c r="F115" s="315" t="s">
        <v>1378</v>
      </c>
      <c r="G115" s="315" t="s">
        <v>1379</v>
      </c>
      <c r="H115" s="315" t="s">
        <v>1379</v>
      </c>
    </row>
    <row r="116">
      <c r="A116" s="315">
        <v>114</v>
      </c>
      <c r="B116" s="316" t="s">
        <v>1498</v>
      </c>
      <c r="C116" s="315" t="s">
        <v>1381</v>
      </c>
      <c r="D116" s="315" t="s">
        <v>1381</v>
      </c>
      <c r="E116" s="315" t="s">
        <v>1391</v>
      </c>
      <c r="F116" s="315" t="s">
        <v>1378</v>
      </c>
      <c r="G116" s="315" t="s">
        <v>1379</v>
      </c>
      <c r="H116" s="315" t="s">
        <v>1379</v>
      </c>
    </row>
    <row r="117">
      <c r="A117" s="315">
        <v>115</v>
      </c>
      <c r="B117" s="316" t="s">
        <v>1499</v>
      </c>
      <c r="C117" s="315" t="s">
        <v>1378</v>
      </c>
      <c r="D117" s="315" t="s">
        <v>1378</v>
      </c>
      <c r="E117" s="315" t="s">
        <v>1378</v>
      </c>
      <c r="F117" s="315" t="s">
        <v>1391</v>
      </c>
      <c r="G117" s="315" t="s">
        <v>1379</v>
      </c>
      <c r="H117" s="315" t="s">
        <v>1391</v>
      </c>
    </row>
    <row r="118">
      <c r="A118" s="315">
        <v>116</v>
      </c>
      <c r="B118" s="316" t="s">
        <v>1500</v>
      </c>
      <c r="C118" s="315" t="s">
        <v>1378</v>
      </c>
      <c r="D118" s="315" t="s">
        <v>1378</v>
      </c>
      <c r="E118" s="315" t="s">
        <v>1379</v>
      </c>
      <c r="F118" s="315" t="s">
        <v>1381</v>
      </c>
      <c r="G118" s="315" t="s">
        <v>1379</v>
      </c>
      <c r="H118" s="315" t="s">
        <v>1379</v>
      </c>
    </row>
    <row r="119">
      <c r="A119" s="315">
        <v>117</v>
      </c>
      <c r="B119" s="316" t="s">
        <v>1501</v>
      </c>
      <c r="C119" s="315" t="s">
        <v>1378</v>
      </c>
      <c r="D119" s="315" t="s">
        <v>1381</v>
      </c>
      <c r="E119" s="315" t="s">
        <v>1379</v>
      </c>
      <c r="F119" s="315" t="s">
        <v>1378</v>
      </c>
      <c r="G119" s="315" t="s">
        <v>1379</v>
      </c>
      <c r="H119" s="315" t="s">
        <v>1379</v>
      </c>
    </row>
    <row r="120">
      <c r="A120" s="315">
        <v>118</v>
      </c>
      <c r="B120" s="316" t="s">
        <v>1502</v>
      </c>
      <c r="C120" s="315" t="s">
        <v>1381</v>
      </c>
      <c r="D120" s="315" t="s">
        <v>1381</v>
      </c>
      <c r="E120" s="315" t="s">
        <v>1379</v>
      </c>
      <c r="F120" s="315" t="s">
        <v>1381</v>
      </c>
      <c r="G120" s="315" t="s">
        <v>1379</v>
      </c>
      <c r="H120" s="315" t="s">
        <v>1379</v>
      </c>
    </row>
    <row r="121">
      <c r="A121" s="315">
        <v>119</v>
      </c>
      <c r="B121" s="316" t="s">
        <v>1503</v>
      </c>
      <c r="C121" s="315" t="s">
        <v>1378</v>
      </c>
      <c r="D121" s="315" t="s">
        <v>1378</v>
      </c>
      <c r="E121" s="315" t="s">
        <v>1379</v>
      </c>
      <c r="F121" s="315" t="s">
        <v>1381</v>
      </c>
      <c r="G121" s="315" t="s">
        <v>1379</v>
      </c>
      <c r="H121" s="315" t="s">
        <v>1378</v>
      </c>
    </row>
    <row r="122">
      <c r="A122" s="315">
        <v>120</v>
      </c>
      <c r="B122" s="316" t="s">
        <v>1504</v>
      </c>
      <c r="C122" s="315" t="s">
        <v>1378</v>
      </c>
      <c r="D122" s="315" t="s">
        <v>1378</v>
      </c>
      <c r="E122" s="315" t="s">
        <v>1379</v>
      </c>
      <c r="F122" s="315" t="s">
        <v>1381</v>
      </c>
      <c r="G122" s="315" t="s">
        <v>1379</v>
      </c>
      <c r="H122" s="315" t="s">
        <v>1379</v>
      </c>
    </row>
    <row r="123">
      <c r="A123" s="315">
        <v>121</v>
      </c>
      <c r="B123" s="316" t="s">
        <v>1505</v>
      </c>
      <c r="C123" s="315" t="s">
        <v>1378</v>
      </c>
      <c r="D123" s="315" t="s">
        <v>1378</v>
      </c>
      <c r="E123" s="315" t="s">
        <v>1379</v>
      </c>
      <c r="F123" s="315" t="s">
        <v>1381</v>
      </c>
      <c r="G123" s="315" t="s">
        <v>1379</v>
      </c>
      <c r="H123" s="315" t="s">
        <v>1379</v>
      </c>
    </row>
    <row r="124">
      <c r="A124" s="315">
        <v>122</v>
      </c>
      <c r="B124" s="316" t="s">
        <v>1506</v>
      </c>
      <c r="C124" s="315" t="s">
        <v>1378</v>
      </c>
      <c r="D124" s="315" t="s">
        <v>1378</v>
      </c>
      <c r="E124" s="315" t="s">
        <v>1381</v>
      </c>
      <c r="F124" s="315" t="s">
        <v>1378</v>
      </c>
      <c r="G124" s="315" t="s">
        <v>1379</v>
      </c>
      <c r="H124" s="315" t="s">
        <v>1379</v>
      </c>
    </row>
    <row r="125">
      <c r="A125" s="315">
        <v>123</v>
      </c>
      <c r="B125" s="316" t="s">
        <v>1507</v>
      </c>
      <c r="C125" s="315" t="s">
        <v>1378</v>
      </c>
      <c r="D125" s="315" t="s">
        <v>1378</v>
      </c>
      <c r="E125" s="315" t="s">
        <v>1379</v>
      </c>
      <c r="F125" s="315" t="s">
        <v>1381</v>
      </c>
      <c r="G125" s="315" t="s">
        <v>1379</v>
      </c>
      <c r="H125" s="315" t="s">
        <v>1379</v>
      </c>
    </row>
    <row r="126">
      <c r="A126" s="315">
        <v>124</v>
      </c>
      <c r="B126" s="316" t="s">
        <v>1508</v>
      </c>
      <c r="C126" s="315" t="s">
        <v>1381</v>
      </c>
      <c r="D126" s="315" t="s">
        <v>1381</v>
      </c>
      <c r="E126" s="315" t="s">
        <v>1379</v>
      </c>
      <c r="F126" s="315" t="s">
        <v>1381</v>
      </c>
      <c r="G126" s="315" t="s">
        <v>1379</v>
      </c>
      <c r="H126" s="315" t="s">
        <v>1379</v>
      </c>
    </row>
  </sheetData>
  <mergeCells count="1">
    <mergeCell ref="A1:H1"/>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4">
    <tabColor indexed="2"/>
    <outlinePr applyStyles="0" summaryBelow="1" summaryRight="1" showOutlineSymbols="1"/>
    <pageSetUpPr autoPageBreaks="1" fitToPage="0"/>
  </sheetPr>
  <sheetViews>
    <sheetView zoomScale="85" workbookViewId="0">
      <pane xSplit="2" ySplit="9" topLeftCell="C10" activePane="bottomRight" state="frozen"/>
      <selection activeCell="BC12" activeCellId="0" sqref="BC12"/>
    </sheetView>
  </sheetViews>
  <sheetFormatPr defaultColWidth="9" defaultRowHeight="13.5"/>
  <cols>
    <col customWidth="1" min="1" max="1" style="1" width="4.875"/>
    <col customWidth="1" min="2" max="2" style="2" width="10.883333333333301"/>
    <col customWidth="1" min="3" max="3" style="1" width="8.125"/>
    <col customWidth="1" hidden="1" min="4" max="4" style="1" width="6.2583333333333302"/>
    <col customWidth="1" min="5" max="5" style="1" width="6.2583333333333302"/>
    <col customWidth="1" hidden="1" min="6" max="6" style="1" width="6.2583333333333302"/>
    <col customWidth="1" hidden="1" min="7" max="7" style="1" width="7.625"/>
    <col customWidth="1" min="8" max="13" style="1" width="7.625"/>
    <col customWidth="1" min="14" max="14" style="4" width="7.625"/>
    <col customWidth="1" hidden="1" min="15" max="15" style="1" width="7.625"/>
    <col customWidth="1" min="16" max="17" style="1" width="7.625"/>
    <col customWidth="1" min="18" max="18" style="4" width="10.125"/>
    <col customWidth="1" min="19" max="19" style="4" width="9.875"/>
    <col customWidth="1" min="20" max="21" style="4" width="7.625"/>
    <col customWidth="1" min="22" max="22" style="1" width="7.625"/>
    <col customWidth="1" min="23" max="23" style="4" width="7.625"/>
    <col customWidth="1" hidden="1" min="24" max="24" style="1" width="7.625"/>
    <col customWidth="1" min="25" max="27" style="1" width="7.625"/>
    <col customWidth="1" min="28" max="28" style="126" width="7.625"/>
    <col customWidth="1" min="29" max="29" style="3" width="7.625"/>
    <col customWidth="1" hidden="1" min="30" max="31" style="3" width="7.625"/>
    <col customWidth="1" min="32" max="37" style="3" width="7.625"/>
    <col customWidth="1" min="38" max="38" style="128" width="7.625"/>
    <col customWidth="1" min="39" max="39" style="126" width="7.625"/>
    <col customWidth="1" min="40" max="41" style="3" width="7.625"/>
    <col customWidth="1" min="42" max="42" style="3" width="12.5"/>
    <col customWidth="1" hidden="1" min="43" max="43" style="127" width="7.625"/>
    <col customWidth="1" min="44" max="44" style="127" width="7.625"/>
    <col customWidth="1" min="45" max="47" style="3" width="7.625"/>
    <col customWidth="1" min="48" max="48" style="127" width="7.625"/>
    <col customWidth="1" min="49" max="49" style="3" width="7.625"/>
    <col customWidth="1" hidden="1" min="50" max="50" style="127" width="7.625"/>
    <col customWidth="1" hidden="1" min="51" max="51" style="3" width="7.625"/>
    <col customWidth="1" min="52" max="52" style="130" width="9.2583333333333293"/>
    <col customWidth="1" min="53" max="53" style="1" width="8.5"/>
    <col customWidth="1" min="54" max="54" style="1" width="7.625"/>
    <col customWidth="1" min="55" max="55" style="4" width="7.625"/>
    <col customWidth="1" min="56" max="56" style="1" width="7.625"/>
    <col customWidth="1" hidden="1" min="57" max="57" width="12.625"/>
    <col customWidth="1" hidden="1" min="58" max="58" width="11.175000000000001"/>
    <col customWidth="1" min="59" max="59" width="9.375"/>
    <col customWidth="1" min="60" max="60" width="9"/>
    <col min="61" max="61" width="13.758333333333301"/>
  </cols>
  <sheetData>
    <row r="1" s="0" customFormat="1" ht="16" hidden="1" customHeight="1">
      <c r="A1" s="1" t="s">
        <v>0</v>
      </c>
      <c r="B1" s="2"/>
      <c r="C1" s="1"/>
      <c r="D1" s="1"/>
      <c r="E1" s="1"/>
      <c r="F1" s="6"/>
      <c r="G1" s="4"/>
      <c r="H1" s="4"/>
      <c r="I1" s="4"/>
      <c r="J1" s="4"/>
      <c r="K1" s="4"/>
      <c r="L1" s="4"/>
      <c r="M1" s="4"/>
      <c r="N1" s="4"/>
      <c r="O1" s="126" t="s">
        <v>1509</v>
      </c>
      <c r="P1" s="4">
        <f>P38/$P$9*100000</f>
        <v>14635.329730454199</v>
      </c>
      <c r="Q1" s="4"/>
      <c r="R1" s="4">
        <f>P39/$P$9*100000</f>
        <v>9874.3555422703394</v>
      </c>
      <c r="S1" s="4"/>
      <c r="T1" s="4"/>
      <c r="U1" s="4"/>
      <c r="V1" s="131">
        <f>V3/1348663</f>
        <v>0.369999770142727</v>
      </c>
      <c r="W1" s="4"/>
      <c r="X1" s="4"/>
      <c r="Y1" s="4"/>
      <c r="Z1" s="4"/>
      <c r="AA1" s="131">
        <f t="shared" ref="AA1:AE1" si="1202">AA3/1348663</f>
        <v>0.122244252270582</v>
      </c>
      <c r="AB1" s="4"/>
      <c r="AC1" s="131">
        <f t="shared" si="1202"/>
        <v>3.6999999999999998e-002</v>
      </c>
      <c r="AD1" s="131"/>
      <c r="AE1" s="131">
        <f t="shared" si="1202"/>
        <v>0</v>
      </c>
      <c r="AF1" s="4"/>
      <c r="AG1" s="4"/>
      <c r="AH1" s="131">
        <f t="shared" ref="AH1:AM1" si="1203">AH3/1348663</f>
        <v>2.9999999999999999e-002</v>
      </c>
      <c r="AI1" s="131"/>
      <c r="AJ1" s="131"/>
      <c r="AK1" s="131">
        <f t="shared" si="1203"/>
        <v>2.9999999999999999e-002</v>
      </c>
      <c r="AL1" s="133"/>
      <c r="AM1" s="131">
        <f t="shared" si="1203"/>
        <v>2.74345778003845e-003</v>
      </c>
      <c r="AN1" s="4"/>
      <c r="AO1" s="131">
        <f>AO3/1348663</f>
        <v>8.8977009082328196e-002</v>
      </c>
      <c r="AP1" s="131">
        <f>AP9/AZ3</f>
        <v>0.239035218642527</v>
      </c>
      <c r="AQ1" s="132"/>
      <c r="AR1" s="132"/>
      <c r="AS1" s="129">
        <f t="shared" ref="AS1:AW1" si="1204">AS3/1348663</f>
        <v>2.1725219717601801e-002</v>
      </c>
      <c r="AT1" s="4"/>
      <c r="AU1" s="129">
        <f t="shared" si="1204"/>
        <v>3.1586838224226498e-002</v>
      </c>
      <c r="AV1" s="132"/>
      <c r="AW1" s="131">
        <f t="shared" si="1204"/>
        <v>2.6687912399168699e-002</v>
      </c>
      <c r="AX1" s="134"/>
      <c r="AZ1" s="137"/>
      <c r="BA1" s="1"/>
      <c r="BB1" s="1"/>
      <c r="BC1" s="4">
        <f>AZ3-AW9-AU9-AS9-AO9-AM9-AK9-AH9-AE9-AC9-AA9-V9</f>
        <v>322378.38900000002</v>
      </c>
      <c r="BD1" s="1"/>
    </row>
    <row r="2" ht="51" customHeight="1">
      <c r="A2" s="317" t="s">
        <v>1510</v>
      </c>
      <c r="B2" s="317"/>
      <c r="C2" s="317"/>
      <c r="D2" s="317"/>
      <c r="E2" s="317"/>
      <c r="F2" s="317"/>
      <c r="G2" s="317"/>
      <c r="H2" s="317"/>
      <c r="I2" s="317"/>
      <c r="J2" s="317"/>
      <c r="K2" s="317"/>
      <c r="L2" s="317"/>
      <c r="M2" s="317"/>
      <c r="N2" s="318"/>
      <c r="O2" s="317"/>
      <c r="P2" s="317"/>
      <c r="Q2" s="317"/>
      <c r="R2" s="318"/>
      <c r="S2" s="318"/>
      <c r="T2" s="318"/>
      <c r="U2" s="318"/>
      <c r="V2" s="317"/>
      <c r="W2" s="318"/>
      <c r="X2" s="317"/>
      <c r="Y2" s="317"/>
      <c r="Z2" s="317"/>
      <c r="AA2" s="317"/>
      <c r="AB2" s="318"/>
      <c r="AC2" s="317"/>
      <c r="AD2" s="317"/>
      <c r="AE2" s="317"/>
      <c r="AF2" s="317"/>
      <c r="AG2" s="317"/>
      <c r="AH2" s="317"/>
      <c r="AI2" s="317"/>
      <c r="AJ2" s="317"/>
      <c r="AK2" s="317"/>
      <c r="AL2" s="319"/>
      <c r="AM2" s="318"/>
      <c r="AN2" s="317"/>
      <c r="AO2" s="317"/>
      <c r="AP2" s="317"/>
      <c r="AQ2" s="320"/>
      <c r="AR2" s="320"/>
      <c r="AS2" s="317"/>
      <c r="AT2" s="317"/>
      <c r="AU2" s="317"/>
      <c r="AV2" s="320"/>
      <c r="AW2" s="317"/>
      <c r="AX2" s="320"/>
      <c r="AY2" s="317"/>
      <c r="AZ2" s="318"/>
      <c r="BA2" s="7"/>
      <c r="BB2" s="7"/>
      <c r="BC2" s="8"/>
      <c r="BD2" s="7"/>
    </row>
    <row r="3" ht="21" hidden="1" customHeight="1">
      <c r="A3" s="3"/>
      <c r="B3" s="9"/>
      <c r="C3" s="3"/>
      <c r="D3" s="3"/>
      <c r="E3" s="3"/>
      <c r="F3" s="3"/>
      <c r="G3" s="6">
        <f>G15*0.5+N15</f>
        <v>2135363.5</v>
      </c>
      <c r="H3" s="6"/>
      <c r="I3" s="6"/>
      <c r="J3" s="6"/>
      <c r="K3" s="6"/>
      <c r="L3" s="6"/>
      <c r="M3" s="6"/>
      <c r="N3" s="142"/>
      <c r="O3" s="6"/>
      <c r="P3" s="142">
        <v>21091.022977124201</v>
      </c>
      <c r="Q3" s="142"/>
      <c r="R3" s="142">
        <v>18298.466447066901</v>
      </c>
      <c r="S3" s="142"/>
      <c r="T3" s="142"/>
      <c r="U3" s="142"/>
      <c r="V3" s="130">
        <f>V184+V178+V171+V163+V155+V147+V132+V119+V113+V100+V89+V73+V61+V49+V35+V18</f>
        <v>499005</v>
      </c>
      <c r="W3" s="142"/>
      <c r="X3" s="6"/>
      <c r="Y3" s="6"/>
      <c r="Z3" s="6"/>
      <c r="AA3" s="130">
        <f t="shared" ref="AA3:AE3" si="1205">AA184+AA178+AA171+AA163+AA155+AA147+AA132+AA119+AA113+AA100+AA89+AA73+AA61+AA49+AA35+AA18</f>
        <v>164866.29999999999</v>
      </c>
      <c r="AC3" s="130">
        <f t="shared" si="1205"/>
        <v>49900.531000000003</v>
      </c>
      <c r="AD3" s="130"/>
      <c r="AE3" s="130">
        <f t="shared" si="1205"/>
        <v>0</v>
      </c>
      <c r="AH3" s="130">
        <f t="shared" ref="AH3:AM3" si="1206">AH184+AH178+AH171+AH163+AH155+AH147+AH132+AH119+AH113+AH100+AH89+AH73+AH61+AH49+AH35+AH18</f>
        <v>40459.889999999999</v>
      </c>
      <c r="AI3" s="130"/>
      <c r="AJ3" s="130"/>
      <c r="AK3" s="130">
        <f t="shared" si="1206"/>
        <v>40459.889999999999</v>
      </c>
      <c r="AM3" s="130">
        <f t="shared" si="1206"/>
        <v>3700</v>
      </c>
      <c r="AO3" s="130">
        <f t="shared" ref="AO3:AS3" si="1207">AO184+AO178+AO171+AO163+AO155+AO147+AO132+AO119+AO113+AO100+AO89+AO73+AO61+AO49+AO35+AO18</f>
        <v>120000</v>
      </c>
      <c r="AP3" s="130">
        <f t="shared" si="1207"/>
        <v>322377.95508008701</v>
      </c>
      <c r="AS3" s="130">
        <f t="shared" si="1207"/>
        <v>29300</v>
      </c>
      <c r="AU3" s="130">
        <f>AU184+AU178+AU171+AU163+AU155+AU147+AU132+AU119+AU113+AU100+AU89+AU73+AU61+AU49+AU35+AU18</f>
        <v>42600</v>
      </c>
      <c r="AW3" s="130">
        <f>AW184+AW178+AW171+AW163+AW155+AW147+AW132+AW119+AW113+AW100+AW89+AW73+AW61+AW49+AW35+AW18</f>
        <v>35993</v>
      </c>
      <c r="AY3" s="6"/>
      <c r="AZ3" s="130">
        <v>1348663</v>
      </c>
      <c r="BA3" s="3">
        <f>AZ3*0.1-AS9-AU9-AY9</f>
        <v>62966.300000000003</v>
      </c>
      <c r="BB3" s="3">
        <f>AZ3*0.025</f>
        <v>33716.574999999997</v>
      </c>
      <c r="BC3" s="142"/>
      <c r="BD3" s="6"/>
    </row>
    <row r="4" s="10" customFormat="1" ht="18" customHeight="1">
      <c r="A4" s="11" t="s">
        <v>3</v>
      </c>
      <c r="B4" s="11" t="s">
        <v>4</v>
      </c>
      <c r="C4" s="11" t="s">
        <v>5</v>
      </c>
      <c r="D4" s="11" t="s">
        <v>6</v>
      </c>
      <c r="E4" s="11" t="s">
        <v>7</v>
      </c>
      <c r="F4" s="11" t="s">
        <v>8</v>
      </c>
      <c r="G4" s="13" t="s">
        <v>1511</v>
      </c>
      <c r="H4" s="13"/>
      <c r="I4" s="13"/>
      <c r="J4" s="13"/>
      <c r="K4" s="13"/>
      <c r="L4" s="13"/>
      <c r="M4" s="13"/>
      <c r="N4" s="146"/>
      <c r="O4" s="13"/>
      <c r="P4" s="13"/>
      <c r="Q4" s="13"/>
      <c r="R4" s="146"/>
      <c r="S4" s="146"/>
      <c r="T4" s="146"/>
      <c r="U4" s="146"/>
      <c r="V4" s="13"/>
      <c r="W4" s="146" t="s">
        <v>1512</v>
      </c>
      <c r="X4" s="13"/>
      <c r="Y4" s="13"/>
      <c r="Z4" s="13"/>
      <c r="AA4" s="13"/>
      <c r="AB4" s="321" t="s">
        <v>1513</v>
      </c>
      <c r="AC4" s="322"/>
      <c r="AD4" s="322"/>
      <c r="AE4" s="322"/>
      <c r="AF4" s="322"/>
      <c r="AG4" s="322"/>
      <c r="AH4" s="322"/>
      <c r="AI4" s="322"/>
      <c r="AJ4" s="322"/>
      <c r="AK4" s="322"/>
      <c r="AL4" s="322"/>
      <c r="AM4" s="322"/>
      <c r="AN4" s="322"/>
      <c r="AO4" s="322"/>
      <c r="AP4" s="322"/>
      <c r="AQ4" s="149" t="s">
        <v>1514</v>
      </c>
      <c r="AR4" s="149"/>
      <c r="AS4" s="150"/>
      <c r="AT4" s="150"/>
      <c r="AU4" s="150"/>
      <c r="AV4" s="149"/>
      <c r="AW4" s="150"/>
      <c r="AX4" s="150"/>
      <c r="AY4" s="150"/>
      <c r="AZ4" s="26" t="s">
        <v>404</v>
      </c>
      <c r="BA4" s="152" t="s">
        <v>395</v>
      </c>
      <c r="BB4" s="145" t="s">
        <v>405</v>
      </c>
      <c r="BC4" s="26" t="s">
        <v>406</v>
      </c>
      <c r="BD4" s="15" t="s">
        <v>407</v>
      </c>
      <c r="BF4" s="323" t="s">
        <v>1515</v>
      </c>
      <c r="BG4" s="323"/>
    </row>
    <row r="5" s="10" customFormat="1" ht="56" customHeight="1">
      <c r="A5" s="18"/>
      <c r="B5" s="18"/>
      <c r="C5" s="18"/>
      <c r="D5" s="18"/>
      <c r="E5" s="18"/>
      <c r="F5" s="18"/>
      <c r="G5" s="324" t="s">
        <v>1516</v>
      </c>
      <c r="H5" s="14"/>
      <c r="I5" s="14"/>
      <c r="J5" s="14"/>
      <c r="K5" s="14"/>
      <c r="L5" s="14"/>
      <c r="M5" s="14"/>
      <c r="N5" s="325" t="s">
        <v>1517</v>
      </c>
      <c r="O5" s="14" t="s">
        <v>411</v>
      </c>
      <c r="P5" s="14"/>
      <c r="Q5" s="14"/>
      <c r="R5" s="14"/>
      <c r="S5" s="14"/>
      <c r="T5" s="14"/>
      <c r="U5" s="14" t="s">
        <v>412</v>
      </c>
      <c r="V5" s="15" t="s">
        <v>23</v>
      </c>
      <c r="W5" s="146"/>
      <c r="X5" s="13"/>
      <c r="Y5" s="13"/>
      <c r="Z5" s="13"/>
      <c r="AA5" s="13"/>
      <c r="AB5" s="326"/>
      <c r="AC5" s="327"/>
      <c r="AD5" s="327"/>
      <c r="AE5" s="327"/>
      <c r="AF5" s="327"/>
      <c r="AG5" s="327"/>
      <c r="AH5" s="327"/>
      <c r="AI5" s="327"/>
      <c r="AJ5" s="327"/>
      <c r="AK5" s="327"/>
      <c r="AL5" s="327"/>
      <c r="AM5" s="327"/>
      <c r="AN5" s="327"/>
      <c r="AO5" s="327"/>
      <c r="AP5" s="327"/>
      <c r="AQ5" s="149"/>
      <c r="AR5" s="149"/>
      <c r="AS5" s="150"/>
      <c r="AT5" s="150"/>
      <c r="AU5" s="150"/>
      <c r="AV5" s="149"/>
      <c r="AW5" s="150"/>
      <c r="AX5" s="150"/>
      <c r="AY5" s="150"/>
      <c r="AZ5" s="26"/>
      <c r="BA5" s="152"/>
      <c r="BB5" s="154"/>
      <c r="BC5" s="26"/>
      <c r="BD5" s="15"/>
      <c r="BF5" s="323"/>
      <c r="BG5" s="323"/>
    </row>
    <row r="6" s="10" customFormat="1" ht="51" customHeight="1">
      <c r="A6" s="18"/>
      <c r="B6" s="18"/>
      <c r="C6" s="18"/>
      <c r="D6" s="18"/>
      <c r="E6" s="18"/>
      <c r="F6" s="18"/>
      <c r="G6" s="20" t="s">
        <v>24</v>
      </c>
      <c r="H6" s="20" t="s">
        <v>25</v>
      </c>
      <c r="I6" s="20"/>
      <c r="J6" s="20"/>
      <c r="K6" s="20"/>
      <c r="L6" s="20"/>
      <c r="M6" s="20"/>
      <c r="N6" s="325"/>
      <c r="O6" s="20" t="s">
        <v>26</v>
      </c>
      <c r="P6" s="20" t="s">
        <v>1518</v>
      </c>
      <c r="Q6" s="20"/>
      <c r="R6" s="20"/>
      <c r="S6" s="20"/>
      <c r="T6" s="20"/>
      <c r="U6" s="14"/>
      <c r="V6" s="15"/>
      <c r="W6" s="25" t="s">
        <v>414</v>
      </c>
      <c r="X6" s="14" t="s">
        <v>415</v>
      </c>
      <c r="Y6" s="14" t="s">
        <v>29</v>
      </c>
      <c r="Z6" s="155" t="s">
        <v>416</v>
      </c>
      <c r="AA6" s="15" t="s">
        <v>23</v>
      </c>
      <c r="AB6" s="25" t="s">
        <v>1519</v>
      </c>
      <c r="AC6" s="25"/>
      <c r="AD6" s="328" t="s">
        <v>1520</v>
      </c>
      <c r="AE6" s="329"/>
      <c r="AF6" s="324" t="s">
        <v>1521</v>
      </c>
      <c r="AG6" s="324"/>
      <c r="AH6" s="324"/>
      <c r="AI6" s="324"/>
      <c r="AJ6" s="324"/>
      <c r="AK6" s="324"/>
      <c r="AL6" s="324"/>
      <c r="AM6" s="325"/>
      <c r="AN6" s="14" t="s">
        <v>1522</v>
      </c>
      <c r="AO6" s="14"/>
      <c r="AP6" s="330" t="s">
        <v>1523</v>
      </c>
      <c r="AQ6" s="149" t="s">
        <v>1524</v>
      </c>
      <c r="AR6" s="149" t="s">
        <v>1525</v>
      </c>
      <c r="AS6" s="26" t="s">
        <v>23</v>
      </c>
      <c r="AT6" s="149" t="s">
        <v>1526</v>
      </c>
      <c r="AU6" s="26" t="s">
        <v>23</v>
      </c>
      <c r="AV6" s="149" t="s">
        <v>1527</v>
      </c>
      <c r="AW6" s="149"/>
      <c r="AX6" s="149" t="s">
        <v>1528</v>
      </c>
      <c r="AY6" s="14"/>
      <c r="AZ6" s="26"/>
      <c r="BA6" s="152"/>
      <c r="BB6" s="154"/>
      <c r="BC6" s="26"/>
      <c r="BD6" s="15"/>
      <c r="BF6" s="323"/>
      <c r="BG6" s="323"/>
    </row>
    <row r="7" s="10" customFormat="1" ht="63" customHeight="1">
      <c r="A7" s="21"/>
      <c r="B7" s="21"/>
      <c r="C7" s="21"/>
      <c r="D7" s="21"/>
      <c r="E7" s="21"/>
      <c r="F7" s="21"/>
      <c r="G7" s="20"/>
      <c r="H7" s="20" t="s">
        <v>36</v>
      </c>
      <c r="I7" s="20" t="s">
        <v>1529</v>
      </c>
      <c r="J7" s="20" t="s">
        <v>1530</v>
      </c>
      <c r="K7" s="20" t="s">
        <v>1531</v>
      </c>
      <c r="L7" s="20" t="s">
        <v>1532</v>
      </c>
      <c r="M7" s="20" t="s">
        <v>41</v>
      </c>
      <c r="N7" s="325"/>
      <c r="O7" s="20"/>
      <c r="P7" s="331" t="s">
        <v>36</v>
      </c>
      <c r="Q7" s="331" t="s">
        <v>1533</v>
      </c>
      <c r="R7" s="325" t="s">
        <v>1534</v>
      </c>
      <c r="S7" s="325" t="s">
        <v>1535</v>
      </c>
      <c r="T7" s="325" t="s">
        <v>1536</v>
      </c>
      <c r="U7" s="14"/>
      <c r="V7" s="15"/>
      <c r="W7" s="156"/>
      <c r="X7" s="23"/>
      <c r="Y7" s="14"/>
      <c r="Z7" s="158"/>
      <c r="AA7" s="24"/>
      <c r="AB7" s="156" t="s">
        <v>430</v>
      </c>
      <c r="AC7" s="26" t="s">
        <v>23</v>
      </c>
      <c r="AD7" s="25" t="s">
        <v>1537</v>
      </c>
      <c r="AE7" s="26" t="s">
        <v>23</v>
      </c>
      <c r="AF7" s="324" t="s">
        <v>1538</v>
      </c>
      <c r="AG7" s="324" t="s">
        <v>1539</v>
      </c>
      <c r="AH7" s="332" t="s">
        <v>23</v>
      </c>
      <c r="AI7" s="325" t="s">
        <v>1540</v>
      </c>
      <c r="AJ7" s="325" t="s">
        <v>1541</v>
      </c>
      <c r="AK7" s="332" t="s">
        <v>23</v>
      </c>
      <c r="AL7" s="333" t="s">
        <v>1542</v>
      </c>
      <c r="AM7" s="332" t="s">
        <v>23</v>
      </c>
      <c r="AN7" s="14" t="s">
        <v>437</v>
      </c>
      <c r="AO7" s="26" t="s">
        <v>23</v>
      </c>
      <c r="AP7" s="26" t="s">
        <v>23</v>
      </c>
      <c r="AQ7" s="149"/>
      <c r="AR7" s="149"/>
      <c r="AS7" s="26"/>
      <c r="AT7" s="149"/>
      <c r="AU7" s="26"/>
      <c r="AV7" s="334" t="s">
        <v>1543</v>
      </c>
      <c r="AW7" s="26" t="s">
        <v>23</v>
      </c>
      <c r="AX7" s="149" t="s">
        <v>439</v>
      </c>
      <c r="AY7" s="26" t="s">
        <v>23</v>
      </c>
      <c r="AZ7" s="26"/>
      <c r="BA7" s="152"/>
      <c r="BB7" s="157"/>
      <c r="BC7" s="26"/>
      <c r="BD7" s="15"/>
      <c r="BF7" s="323"/>
      <c r="BG7" s="323"/>
    </row>
    <row r="8" s="10" customFormat="1" ht="24" customHeight="1">
      <c r="A8" s="20"/>
      <c r="B8" s="20"/>
      <c r="C8" s="20"/>
      <c r="D8" s="20"/>
      <c r="E8" s="20"/>
      <c r="F8" s="20"/>
      <c r="G8" s="28">
        <v>1</v>
      </c>
      <c r="H8" s="20">
        <v>2</v>
      </c>
      <c r="I8" s="28">
        <v>3</v>
      </c>
      <c r="J8" s="20">
        <v>4</v>
      </c>
      <c r="K8" s="28">
        <v>5</v>
      </c>
      <c r="L8" s="20">
        <v>6</v>
      </c>
      <c r="M8" s="28">
        <v>7</v>
      </c>
      <c r="N8" s="20">
        <v>8</v>
      </c>
      <c r="O8" s="28">
        <v>9</v>
      </c>
      <c r="P8" s="20">
        <v>10</v>
      </c>
      <c r="Q8" s="28">
        <v>11</v>
      </c>
      <c r="R8" s="20">
        <v>12</v>
      </c>
      <c r="S8" s="28">
        <v>13</v>
      </c>
      <c r="T8" s="20">
        <v>14</v>
      </c>
      <c r="U8" s="28">
        <v>15</v>
      </c>
      <c r="V8" s="20">
        <v>16</v>
      </c>
      <c r="W8" s="28">
        <v>17</v>
      </c>
      <c r="X8" s="20">
        <v>18</v>
      </c>
      <c r="Y8" s="28">
        <v>19</v>
      </c>
      <c r="Z8" s="20">
        <v>20</v>
      </c>
      <c r="AA8" s="28">
        <v>21</v>
      </c>
      <c r="AB8" s="20">
        <v>22</v>
      </c>
      <c r="AC8" s="28">
        <v>23</v>
      </c>
      <c r="AD8" s="20">
        <v>24</v>
      </c>
      <c r="AE8" s="28">
        <v>25</v>
      </c>
      <c r="AF8" s="20">
        <v>26</v>
      </c>
      <c r="AG8" s="28">
        <v>27</v>
      </c>
      <c r="AH8" s="20">
        <v>28</v>
      </c>
      <c r="AI8" s="28">
        <v>29</v>
      </c>
      <c r="AJ8" s="20">
        <v>30</v>
      </c>
      <c r="AK8" s="28">
        <v>31</v>
      </c>
      <c r="AL8" s="20">
        <v>32</v>
      </c>
      <c r="AM8" s="28">
        <v>33</v>
      </c>
      <c r="AN8" s="20">
        <v>34</v>
      </c>
      <c r="AO8" s="28">
        <v>35</v>
      </c>
      <c r="AP8" s="20">
        <v>36</v>
      </c>
      <c r="AQ8" s="28">
        <v>37</v>
      </c>
      <c r="AR8" s="20">
        <v>38</v>
      </c>
      <c r="AS8" s="28">
        <v>39</v>
      </c>
      <c r="AT8" s="20">
        <v>40</v>
      </c>
      <c r="AU8" s="28">
        <v>41</v>
      </c>
      <c r="AV8" s="20">
        <v>42</v>
      </c>
      <c r="AW8" s="28">
        <v>43</v>
      </c>
      <c r="AX8" s="20">
        <v>44</v>
      </c>
      <c r="AY8" s="28">
        <v>45</v>
      </c>
      <c r="AZ8" s="20">
        <v>46</v>
      </c>
      <c r="BA8" s="28">
        <v>47</v>
      </c>
      <c r="BB8" s="20">
        <v>48</v>
      </c>
      <c r="BC8" s="28">
        <v>49</v>
      </c>
      <c r="BD8" s="20">
        <v>50</v>
      </c>
    </row>
    <row r="9" s="5" customFormat="1" ht="17" customHeight="1">
      <c r="A9" s="31"/>
      <c r="B9" s="32" t="s">
        <v>55</v>
      </c>
      <c r="C9" s="33">
        <v>0</v>
      </c>
      <c r="D9" s="34"/>
      <c r="E9" s="34"/>
      <c r="F9" s="35"/>
      <c r="G9" s="37">
        <f t="shared" ref="G9:P9" si="1208">SUM(SUMIF($C:$C,"1",G:G))</f>
        <v>6652993</v>
      </c>
      <c r="H9" s="38">
        <f t="shared" si="1208"/>
        <v>5716278.7999999998</v>
      </c>
      <c r="I9" s="37">
        <f t="shared" si="1208"/>
        <v>353254.79999999999</v>
      </c>
      <c r="J9" s="37">
        <f t="shared" si="1208"/>
        <v>347075.40000000002</v>
      </c>
      <c r="K9" s="37">
        <f t="shared" si="1208"/>
        <v>1124051.2</v>
      </c>
      <c r="L9" s="37">
        <f t="shared" si="1208"/>
        <v>2443064.3999999999</v>
      </c>
      <c r="M9" s="37">
        <f t="shared" si="1208"/>
        <v>1448833</v>
      </c>
      <c r="N9" s="37">
        <f t="shared" si="1208"/>
        <v>896860</v>
      </c>
      <c r="O9" s="37">
        <f t="shared" si="1208"/>
        <v>996117</v>
      </c>
      <c r="P9" s="37">
        <f t="shared" si="1208"/>
        <v>453637.20000000001</v>
      </c>
      <c r="Q9" s="37">
        <v>107490</v>
      </c>
      <c r="R9" s="37">
        <f>SUM(SUMIF($C:$C,"1",R:R))</f>
        <v>58954</v>
      </c>
      <c r="S9" s="37">
        <f>SUM(SUMIF($C:$C,"1",S:S))</f>
        <v>254085</v>
      </c>
      <c r="T9" s="37">
        <f>SUM(SUMIF($C:$C,"1",T:T))</f>
        <v>70316</v>
      </c>
      <c r="U9" s="37">
        <f>SUM(SUMIF($C:$C,"1",U:U))</f>
        <v>147475</v>
      </c>
      <c r="V9" s="39">
        <f>SUM(SUMIF($C:$C,"1",V:V))</f>
        <v>499005</v>
      </c>
      <c r="W9" s="37">
        <v>11378.84</v>
      </c>
      <c r="X9" s="41">
        <f t="shared" ref="X9:AE9" si="1209">SUM(SUMIF($C:$C,"1",X:X))</f>
        <v>74.865674146605997</v>
      </c>
      <c r="Y9" s="41">
        <f t="shared" si="1209"/>
        <v>519.04199821930501</v>
      </c>
      <c r="Z9" s="41">
        <f t="shared" si="1209"/>
        <v>452.45458784593302</v>
      </c>
      <c r="AA9" s="39">
        <f t="shared" si="1209"/>
        <v>164866.29999999999</v>
      </c>
      <c r="AB9" s="37">
        <f t="shared" si="1209"/>
        <v>710268.24523200002</v>
      </c>
      <c r="AC9" s="37">
        <f t="shared" si="1209"/>
        <v>49900.531000000003</v>
      </c>
      <c r="AD9" s="37">
        <f t="shared" si="1209"/>
        <v>10</v>
      </c>
      <c r="AE9" s="39">
        <f t="shared" si="1209"/>
        <v>0</v>
      </c>
      <c r="AF9" s="37">
        <f>SUM(SUMIF($C:$C,"1",AF:AF))-AF22-AF23-AF24-AF25-AF26</f>
        <v>4006</v>
      </c>
      <c r="AG9" s="37">
        <f>SUM(SUMIF($C:$C,"1",AG:AG))-AG22-AG23-AG24-AG25-AG26</f>
        <v>3543.5</v>
      </c>
      <c r="AH9" s="37">
        <f>SUM(SUMIF($C:$C,"1",AH:AH))</f>
        <v>40459.889999999999</v>
      </c>
      <c r="AI9" s="37">
        <f>SUM(SUMIF($C:$C,"1",AI:AI))-AI22-AI23-AI24-AI25-AI26</f>
        <v>101.244591565037</v>
      </c>
      <c r="AJ9" s="37">
        <f>SUM(SUMIF($C:$C,"1",AJ:AJ))-AJ22-AJ23-AJ24-AJ25-AJ26</f>
        <v>87.547642783475396</v>
      </c>
      <c r="AK9" s="37">
        <f t="shared" ref="AK9:AP9" si="1210">SUM(SUMIF($C:$C,"1",AK:AK))</f>
        <v>40459.889999999999</v>
      </c>
      <c r="AL9" s="37">
        <f t="shared" si="1210"/>
        <v>0</v>
      </c>
      <c r="AM9" s="37">
        <f t="shared" si="1210"/>
        <v>3700</v>
      </c>
      <c r="AN9" s="37">
        <f t="shared" si="1210"/>
        <v>200</v>
      </c>
      <c r="AO9" s="37">
        <f t="shared" si="1210"/>
        <v>120000</v>
      </c>
      <c r="AP9" s="37">
        <f t="shared" si="1210"/>
        <v>322377.95508008701</v>
      </c>
      <c r="AQ9" s="39">
        <v>9677.4400000000005</v>
      </c>
      <c r="AR9" s="39"/>
      <c r="AS9" s="39">
        <f>SUM(SUMIF($C:$C,"1",AS:AS))</f>
        <v>29300</v>
      </c>
      <c r="AT9" s="39"/>
      <c r="AU9" s="39">
        <f>SUM(SUMIF($C:$C,"1",AU:AU))</f>
        <v>42600</v>
      </c>
      <c r="AV9" s="39">
        <f>SUM(SUMIF($C:$C,"1",AV:AV)-AV22-AV23-AV24-AV25-AV26)</f>
        <v>1408.8308359929799</v>
      </c>
      <c r="AW9" s="37">
        <f>SUM(SUMIF($C:$C,"1",AW:AW))</f>
        <v>35993</v>
      </c>
      <c r="AX9" s="37">
        <f>SUM(SUMIF($C:$C,"1",AX:AX))-AX22-AX23-AX24-AX25-AX26</f>
        <v>131277.323913589</v>
      </c>
      <c r="AY9" s="37">
        <f>SUM(SUMIF($C:$C,"1",AY:AY))</f>
        <v>0</v>
      </c>
      <c r="AZ9" s="37">
        <f>SUM(SUMIF($C:$C,"1",AZ:AZ))</f>
        <v>1348662.5660800899</v>
      </c>
      <c r="BA9" s="37">
        <f>SUM(SUMIF($C:$C,"1",BA:BA))</f>
        <v>1485211</v>
      </c>
      <c r="BB9" s="37">
        <f>SUM(SUMIF($C:$C,"1",BB:BB))</f>
        <v>1348663</v>
      </c>
      <c r="BC9" s="37">
        <f>AZ9-BB9</f>
        <v>-0.43391991336829999</v>
      </c>
      <c r="BD9" s="335">
        <f t="shared" ref="BD9:BD18" si="1211">BC9/BB9</f>
        <v>-3.2174080060645199e-007</v>
      </c>
    </row>
    <row r="10" ht="17" customHeight="1">
      <c r="A10" s="44"/>
      <c r="B10" s="45" t="s">
        <v>56</v>
      </c>
      <c r="C10" s="46">
        <v>1</v>
      </c>
      <c r="D10" s="46"/>
      <c r="E10" s="46"/>
      <c r="F10" s="47"/>
      <c r="G10" s="49"/>
      <c r="H10" s="50"/>
      <c r="I10" s="49"/>
      <c r="J10" s="49"/>
      <c r="K10" s="49"/>
      <c r="L10" s="49"/>
      <c r="M10" s="49"/>
      <c r="N10" s="59"/>
      <c r="O10" s="49"/>
      <c r="P10" s="49"/>
      <c r="Q10" s="49"/>
      <c r="R10" s="49"/>
      <c r="S10" s="49"/>
      <c r="T10" s="49"/>
      <c r="U10" s="49"/>
      <c r="V10" s="48"/>
      <c r="W10" s="49"/>
      <c r="X10" s="52"/>
      <c r="Y10" s="52"/>
      <c r="Z10" s="52"/>
      <c r="AA10" s="48"/>
      <c r="AB10" s="49"/>
      <c r="AC10" s="49"/>
      <c r="AD10" s="49"/>
      <c r="AE10" s="48"/>
      <c r="AF10" s="49"/>
      <c r="AG10" s="49"/>
      <c r="AH10" s="49"/>
      <c r="AI10" s="49"/>
      <c r="AJ10" s="49"/>
      <c r="AK10" s="49"/>
      <c r="AL10" s="169"/>
      <c r="AM10" s="49"/>
      <c r="AN10" s="49"/>
      <c r="AO10" s="49"/>
      <c r="AP10" s="49"/>
      <c r="AQ10" s="52"/>
      <c r="AR10" s="52"/>
      <c r="AS10" s="48"/>
      <c r="AT10" s="48"/>
      <c r="AU10" s="48"/>
      <c r="AV10" s="52"/>
      <c r="AW10" s="49"/>
      <c r="AX10" s="49"/>
      <c r="AY10" s="49"/>
      <c r="AZ10" s="170"/>
      <c r="BA10" s="59"/>
      <c r="BB10" s="59"/>
      <c r="BC10" s="59"/>
      <c r="BD10" s="43"/>
    </row>
    <row r="11" s="54" customFormat="1" ht="17" customHeight="1">
      <c r="A11" s="55"/>
      <c r="B11" s="56" t="s">
        <v>58</v>
      </c>
      <c r="C11" s="57">
        <v>0</v>
      </c>
      <c r="D11" s="57"/>
      <c r="E11" s="57"/>
      <c r="F11" s="58"/>
      <c r="G11" s="172">
        <f t="shared" ref="G11:BD11" si="1212">SUM(SUMIF($C:$C,"2",G:G))</f>
        <v>0</v>
      </c>
      <c r="H11" s="172">
        <f t="shared" si="1212"/>
        <v>0</v>
      </c>
      <c r="I11" s="172">
        <f t="shared" si="1212"/>
        <v>0</v>
      </c>
      <c r="J11" s="172">
        <f t="shared" si="1212"/>
        <v>0</v>
      </c>
      <c r="K11" s="172">
        <f t="shared" si="1212"/>
        <v>0</v>
      </c>
      <c r="L11" s="172">
        <f t="shared" si="1212"/>
        <v>0</v>
      </c>
      <c r="M11" s="172">
        <f t="shared" si="1212"/>
        <v>0</v>
      </c>
      <c r="N11" s="172">
        <f t="shared" si="1212"/>
        <v>0</v>
      </c>
      <c r="O11" s="172">
        <f t="shared" si="1212"/>
        <v>0</v>
      </c>
      <c r="P11" s="172">
        <f t="shared" si="1212"/>
        <v>0</v>
      </c>
      <c r="Q11" s="172">
        <f t="shared" si="1212"/>
        <v>0</v>
      </c>
      <c r="R11" s="172">
        <f t="shared" si="1212"/>
        <v>0</v>
      </c>
      <c r="S11" s="172">
        <f t="shared" si="1212"/>
        <v>0</v>
      </c>
      <c r="T11" s="172">
        <f t="shared" si="1212"/>
        <v>0</v>
      </c>
      <c r="U11" s="172">
        <f t="shared" si="1212"/>
        <v>0</v>
      </c>
      <c r="V11" s="172">
        <f t="shared" si="1212"/>
        <v>0</v>
      </c>
      <c r="W11" s="172">
        <f t="shared" si="1212"/>
        <v>0</v>
      </c>
      <c r="X11" s="172">
        <f t="shared" si="1212"/>
        <v>0</v>
      </c>
      <c r="Y11" s="172">
        <f t="shared" si="1212"/>
        <v>0</v>
      </c>
      <c r="Z11" s="172">
        <f t="shared" si="1212"/>
        <v>0</v>
      </c>
      <c r="AA11" s="172">
        <f t="shared" si="1212"/>
        <v>0</v>
      </c>
      <c r="AB11" s="172">
        <f t="shared" si="1212"/>
        <v>0</v>
      </c>
      <c r="AC11" s="172">
        <f t="shared" si="1212"/>
        <v>0</v>
      </c>
      <c r="AD11" s="172">
        <f t="shared" si="1212"/>
        <v>0</v>
      </c>
      <c r="AE11" s="172">
        <f t="shared" si="1212"/>
        <v>0</v>
      </c>
      <c r="AF11" s="172">
        <f t="shared" si="1212"/>
        <v>0</v>
      </c>
      <c r="AG11" s="172">
        <f t="shared" si="1212"/>
        <v>0</v>
      </c>
      <c r="AH11" s="172">
        <f t="shared" si="1212"/>
        <v>0</v>
      </c>
      <c r="AI11" s="172">
        <f t="shared" si="1212"/>
        <v>0</v>
      </c>
      <c r="AJ11" s="172">
        <f t="shared" si="1212"/>
        <v>0</v>
      </c>
      <c r="AK11" s="172">
        <f t="shared" si="1212"/>
        <v>0</v>
      </c>
      <c r="AL11" s="172">
        <f t="shared" si="1212"/>
        <v>0</v>
      </c>
      <c r="AM11" s="172">
        <f t="shared" si="1212"/>
        <v>0</v>
      </c>
      <c r="AN11" s="172">
        <f t="shared" si="1212"/>
        <v>2</v>
      </c>
      <c r="AO11" s="172">
        <f t="shared" si="1212"/>
        <v>1200</v>
      </c>
      <c r="AP11" s="172">
        <f t="shared" si="1212"/>
        <v>0</v>
      </c>
      <c r="AQ11" s="172">
        <f t="shared" si="1212"/>
        <v>0</v>
      </c>
      <c r="AR11" s="172">
        <f t="shared" si="1212"/>
        <v>0</v>
      </c>
      <c r="AS11" s="172">
        <f t="shared" si="1212"/>
        <v>0</v>
      </c>
      <c r="AT11" s="172">
        <f t="shared" si="1212"/>
        <v>0</v>
      </c>
      <c r="AU11" s="172">
        <f t="shared" si="1212"/>
        <v>0</v>
      </c>
      <c r="AV11" s="172">
        <f t="shared" si="1212"/>
        <v>0</v>
      </c>
      <c r="AW11" s="172">
        <f t="shared" si="1212"/>
        <v>0</v>
      </c>
      <c r="AX11" s="172">
        <f t="shared" si="1212"/>
        <v>0</v>
      </c>
      <c r="AY11" s="172">
        <f t="shared" si="1212"/>
        <v>0</v>
      </c>
      <c r="AZ11" s="172">
        <f t="shared" si="1212"/>
        <v>1200</v>
      </c>
      <c r="BA11" s="172">
        <f t="shared" si="1212"/>
        <v>0</v>
      </c>
      <c r="BB11" s="172">
        <f t="shared" si="1212"/>
        <v>0</v>
      </c>
      <c r="BC11" s="172">
        <f t="shared" si="1212"/>
        <v>0</v>
      </c>
      <c r="BD11" s="172">
        <f t="shared" si="1212"/>
        <v>0</v>
      </c>
    </row>
    <row r="12" s="5" customFormat="1" ht="17" customHeight="1">
      <c r="A12" s="44"/>
      <c r="B12" s="45" t="s">
        <v>60</v>
      </c>
      <c r="C12" s="46"/>
      <c r="D12" s="46"/>
      <c r="E12" s="46"/>
      <c r="F12" s="47"/>
      <c r="G12" s="59">
        <f t="shared" ref="G12:P12" si="1213">SUM(SUMIF($C:$C,"贫困",G:G))+SUM(SUMIF($C:$C,"深度贫困",G:G))</f>
        <v>6064235</v>
      </c>
      <c r="H12" s="60">
        <f t="shared" si="1213"/>
        <v>5363024</v>
      </c>
      <c r="I12" s="59">
        <f t="shared" si="1213"/>
        <v>0</v>
      </c>
      <c r="J12" s="59">
        <f t="shared" si="1213"/>
        <v>347075.40000000002</v>
      </c>
      <c r="K12" s="59">
        <f t="shared" si="1213"/>
        <v>1124051.2</v>
      </c>
      <c r="L12" s="59">
        <f t="shared" si="1213"/>
        <v>2443064.3999999999</v>
      </c>
      <c r="M12" s="59">
        <f t="shared" si="1213"/>
        <v>1448833</v>
      </c>
      <c r="N12" s="59">
        <f t="shared" si="1213"/>
        <v>817512</v>
      </c>
      <c r="O12" s="59">
        <f t="shared" si="1213"/>
        <v>951493</v>
      </c>
      <c r="P12" s="59">
        <f t="shared" si="1213"/>
        <v>449662.79999999999</v>
      </c>
      <c r="Q12" s="59">
        <v>100866</v>
      </c>
      <c r="R12" s="59">
        <f>SUM(SUMIF($C:$C,"贫困",R:R))+SUM(SUMIF($C:$C,"深度贫困",R:R))</f>
        <v>58954</v>
      </c>
      <c r="S12" s="59">
        <f>SUM(SUMIF($C:$C,"贫困",S:S))+SUM(SUMIF($C:$C,"深度贫困",S:S))</f>
        <v>254085</v>
      </c>
      <c r="T12" s="59">
        <f>SUM(SUMIF($C:$C,"贫困",T:T))+SUM(SUMIF($C:$C,"深度贫困",T:T))</f>
        <v>70316</v>
      </c>
      <c r="U12" s="59">
        <f>SUM(SUMIF($C:$C,"贫困",U:U))+SUM(SUMIF($C:$C,"深度贫困",U:U))</f>
        <v>133055</v>
      </c>
      <c r="V12" s="59">
        <f>SUM(SUMIF($C:$C,"贫困",V:V))+SUM(SUMIF($C:$C,"深度贫困",V:V))</f>
        <v>466820.25563566899</v>
      </c>
      <c r="W12" s="59"/>
      <c r="X12" s="62">
        <f t="shared" ref="X12:AO12" si="1214">SUM(SUMIF($C:$C,"贫困",X:X))+SUM(SUMIF($C:$C,"深度贫困",X:X))</f>
        <v>55.172602315306399</v>
      </c>
      <c r="Y12" s="62">
        <f t="shared" si="1214"/>
        <v>481.09334458255699</v>
      </c>
      <c r="Z12" s="62">
        <f t="shared" si="1214"/>
        <v>444.86485711858302</v>
      </c>
      <c r="AA12" s="59">
        <f t="shared" si="1214"/>
        <v>162100.73886607101</v>
      </c>
      <c r="AB12" s="59">
        <f t="shared" si="1214"/>
        <v>665330.51963200001</v>
      </c>
      <c r="AC12" s="59">
        <f t="shared" si="1214"/>
        <v>46743.390885084897</v>
      </c>
      <c r="AD12" s="59">
        <f t="shared" si="1214"/>
        <v>10</v>
      </c>
      <c r="AE12" s="59">
        <f t="shared" si="1214"/>
        <v>0</v>
      </c>
      <c r="AF12" s="59">
        <f t="shared" si="1214"/>
        <v>3081</v>
      </c>
      <c r="AG12" s="59">
        <f t="shared" si="1214"/>
        <v>3081</v>
      </c>
      <c r="AH12" s="59">
        <f t="shared" si="1214"/>
        <v>35179.037982221002</v>
      </c>
      <c r="AI12" s="59">
        <f t="shared" si="1214"/>
        <v>73.850694001914206</v>
      </c>
      <c r="AJ12" s="59">
        <f t="shared" si="1214"/>
        <v>73.850694001914206</v>
      </c>
      <c r="AK12" s="59">
        <f t="shared" si="1214"/>
        <v>34129.884720380898</v>
      </c>
      <c r="AL12" s="59">
        <f t="shared" si="1214"/>
        <v>0</v>
      </c>
      <c r="AM12" s="59">
        <f t="shared" si="1214"/>
        <v>2900</v>
      </c>
      <c r="AN12" s="59">
        <f t="shared" si="1214"/>
        <v>162</v>
      </c>
      <c r="AO12" s="59">
        <f t="shared" si="1214"/>
        <v>97200</v>
      </c>
      <c r="AP12" s="59"/>
      <c r="AQ12" s="59"/>
      <c r="AR12" s="59"/>
      <c r="AS12" s="59">
        <f>SUM(SUMIF($C:$C,"贫困",AS:AS))+SUM(SUMIF($C:$C,"深度贫困",AS:AS))</f>
        <v>21800</v>
      </c>
      <c r="AT12" s="59"/>
      <c r="AU12" s="59">
        <f>SUM(SUMIF($C:$C,"贫困",AU:AU))+SUM(SUMIF($C:$C,"深度贫困",AU:AU))</f>
        <v>38400</v>
      </c>
      <c r="AV12" s="62"/>
      <c r="AW12" s="59">
        <f t="shared" ref="AW12:BC12" si="1215">SUM(SUMIF($C:$C,"贫困",AW:AW))+SUM(SUMIF($C:$C,"深度贫困",AW:AW))</f>
        <v>25434.7645888517</v>
      </c>
      <c r="AX12" s="59">
        <f t="shared" si="1215"/>
        <v>105531.32782829</v>
      </c>
      <c r="AY12" s="59">
        <f t="shared" si="1215"/>
        <v>0</v>
      </c>
      <c r="AZ12" s="59">
        <f t="shared" si="1215"/>
        <v>1253088.0277583699</v>
      </c>
      <c r="BA12" s="59">
        <f t="shared" si="1215"/>
        <v>1390683</v>
      </c>
      <c r="BB12" s="59">
        <f t="shared" si="1215"/>
        <v>1262825.7579758</v>
      </c>
      <c r="BC12" s="59">
        <f t="shared" si="1215"/>
        <v>-9737.7302174371107</v>
      </c>
      <c r="BD12" s="43">
        <f t="shared" si="1211"/>
        <v>-7.71106398165795e-003</v>
      </c>
      <c r="BE12" s="135">
        <f>AZ12/88</f>
        <v>14239.6366790723</v>
      </c>
    </row>
    <row r="13" ht="17" customHeight="1">
      <c r="A13" s="44"/>
      <c r="B13" s="45" t="s">
        <v>62</v>
      </c>
      <c r="C13" s="46"/>
      <c r="D13" s="46"/>
      <c r="E13" s="46"/>
      <c r="F13" s="47"/>
      <c r="G13" s="59">
        <f t="shared" ref="G13:P13" si="1216">SUM(SUMIF($C:$C,"非贫困县",G:G))</f>
        <v>588758</v>
      </c>
      <c r="H13" s="60">
        <f t="shared" si="1216"/>
        <v>353254.79999999999</v>
      </c>
      <c r="I13" s="59">
        <f t="shared" si="1216"/>
        <v>353254.79999999999</v>
      </c>
      <c r="J13" s="59">
        <f t="shared" si="1216"/>
        <v>0</v>
      </c>
      <c r="K13" s="59">
        <f t="shared" si="1216"/>
        <v>0</v>
      </c>
      <c r="L13" s="59">
        <f t="shared" si="1216"/>
        <v>0</v>
      </c>
      <c r="M13" s="59">
        <f t="shared" si="1216"/>
        <v>0</v>
      </c>
      <c r="N13" s="59">
        <f t="shared" si="1216"/>
        <v>79348</v>
      </c>
      <c r="O13" s="59">
        <f t="shared" si="1216"/>
        <v>44624</v>
      </c>
      <c r="P13" s="59">
        <f t="shared" si="1216"/>
        <v>3974.4000000000001</v>
      </c>
      <c r="Q13" s="59">
        <v>6624</v>
      </c>
      <c r="R13" s="59">
        <f>SUM(SUMIF($C:$C,"非贫困县",R:R))</f>
        <v>0</v>
      </c>
      <c r="S13" s="59">
        <f>SUM(SUMIF($C:$C,"非贫困县",S:S))</f>
        <v>0</v>
      </c>
      <c r="T13" s="59">
        <f>SUM(SUMIF($C:$C,"非贫困县",T:T))</f>
        <v>0</v>
      </c>
      <c r="U13" s="59">
        <f>SUM(SUMIF($C:$C,"非贫困县",U:U))</f>
        <v>14420</v>
      </c>
      <c r="V13" s="59">
        <f>SUM(SUMIF($C:$C,"非贫困县",V:V))</f>
        <v>32184.744364331</v>
      </c>
      <c r="W13" s="59"/>
      <c r="X13" s="62">
        <f t="shared" ref="X13:AO13" si="1217">SUM(SUMIF($C:$C,"非贫困县",X:X))</f>
        <v>19.693071831299601</v>
      </c>
      <c r="Y13" s="62">
        <f t="shared" si="1217"/>
        <v>37.948653636747999</v>
      </c>
      <c r="Z13" s="62">
        <f t="shared" si="1217"/>
        <v>7.5897307273496004</v>
      </c>
      <c r="AA13" s="59">
        <f t="shared" si="1217"/>
        <v>2765.5611339286902</v>
      </c>
      <c r="AB13" s="59">
        <f t="shared" si="1217"/>
        <v>44937.725599999998</v>
      </c>
      <c r="AC13" s="59">
        <f t="shared" si="1217"/>
        <v>3157.1401149150802</v>
      </c>
      <c r="AD13" s="59">
        <f t="shared" si="1217"/>
        <v>0</v>
      </c>
      <c r="AE13" s="59">
        <f t="shared" si="1217"/>
        <v>0</v>
      </c>
      <c r="AF13" s="59">
        <f t="shared" si="1217"/>
        <v>925</v>
      </c>
      <c r="AG13" s="59">
        <f t="shared" si="1217"/>
        <v>462.5</v>
      </c>
      <c r="AH13" s="59">
        <f t="shared" si="1217"/>
        <v>5280.8520177790297</v>
      </c>
      <c r="AI13" s="59">
        <f t="shared" si="1217"/>
        <v>27.393897563122501</v>
      </c>
      <c r="AJ13" s="59">
        <f t="shared" si="1217"/>
        <v>13.6969487815613</v>
      </c>
      <c r="AK13" s="59">
        <f t="shared" si="1217"/>
        <v>6330.0052796190603</v>
      </c>
      <c r="AL13" s="59">
        <f t="shared" si="1217"/>
        <v>0</v>
      </c>
      <c r="AM13" s="59">
        <f t="shared" si="1217"/>
        <v>800</v>
      </c>
      <c r="AN13" s="59">
        <f t="shared" si="1217"/>
        <v>36</v>
      </c>
      <c r="AO13" s="59">
        <f t="shared" si="1217"/>
        <v>21600</v>
      </c>
      <c r="AP13" s="59"/>
      <c r="AQ13" s="59"/>
      <c r="AR13" s="59"/>
      <c r="AS13" s="59">
        <f>SUM(SUMIF($C:$C,"非贫困县",AS:AS))</f>
        <v>7500</v>
      </c>
      <c r="AT13" s="59"/>
      <c r="AU13" s="59">
        <f>SUM(SUMIF($C:$C,"非贫困县",AU:AU))</f>
        <v>4200</v>
      </c>
      <c r="AV13" s="62"/>
      <c r="AW13" s="59">
        <f t="shared" ref="AW13:BC13" si="1218">SUM(SUMIF($C:$C,"非贫困县",AW:AW))</f>
        <v>10558.2354111483</v>
      </c>
      <c r="AX13" s="59">
        <f t="shared" si="1218"/>
        <v>36318.702240619998</v>
      </c>
      <c r="AY13" s="59">
        <f t="shared" si="1218"/>
        <v>0</v>
      </c>
      <c r="AZ13" s="59">
        <f t="shared" si="1218"/>
        <v>94374.538321721193</v>
      </c>
      <c r="BA13" s="59">
        <f t="shared" si="1218"/>
        <v>94528</v>
      </c>
      <c r="BB13" s="59">
        <f t="shared" si="1218"/>
        <v>85837.242024197199</v>
      </c>
      <c r="BC13" s="59">
        <f t="shared" si="1218"/>
        <v>8537.2962975240007</v>
      </c>
      <c r="BD13" s="43">
        <f t="shared" si="1211"/>
        <v>9.9459117000955902e-002</v>
      </c>
      <c r="BE13" s="135">
        <f>AZ13/41</f>
        <v>2301.8180078468599</v>
      </c>
    </row>
    <row r="14" s="5" customFormat="1" ht="17" customHeight="1">
      <c r="A14" s="44"/>
      <c r="B14" s="45" t="s">
        <v>64</v>
      </c>
      <c r="C14" s="46"/>
      <c r="D14" s="46"/>
      <c r="E14" s="46"/>
      <c r="F14" s="47"/>
      <c r="G14" s="59">
        <f t="shared" ref="G14:P14" si="1219">SUM(SUMIF($E:$E,"国家",G:G))+SUM(SUMIF($E:$E,"省级",G:G))</f>
        <v>4934288</v>
      </c>
      <c r="H14" s="60">
        <f t="shared" si="1219"/>
        <v>4476433.7999999998</v>
      </c>
      <c r="I14" s="59">
        <f t="shared" si="1219"/>
        <v>0</v>
      </c>
      <c r="J14" s="59">
        <f t="shared" si="1219"/>
        <v>125671.7</v>
      </c>
      <c r="K14" s="59">
        <f t="shared" si="1219"/>
        <v>587220</v>
      </c>
      <c r="L14" s="59">
        <f t="shared" si="1219"/>
        <v>2314709.1000000001</v>
      </c>
      <c r="M14" s="59">
        <f t="shared" si="1219"/>
        <v>1448833</v>
      </c>
      <c r="N14" s="59">
        <f t="shared" si="1219"/>
        <v>663436</v>
      </c>
      <c r="O14" s="59">
        <f t="shared" si="1219"/>
        <v>802791</v>
      </c>
      <c r="P14" s="59">
        <f t="shared" si="1219"/>
        <v>440067</v>
      </c>
      <c r="Q14" s="59">
        <v>84873</v>
      </c>
      <c r="R14" s="59">
        <f t="shared" ref="R14:AO14" si="1220">SUM(SUMIF($E:$E,"国家",R:R))+SUM(SUMIF($E:$E,"省级",R:R))</f>
        <v>58954</v>
      </c>
      <c r="S14" s="59">
        <f t="shared" si="1220"/>
        <v>254085</v>
      </c>
      <c r="T14" s="59">
        <f t="shared" si="1220"/>
        <v>70316</v>
      </c>
      <c r="U14" s="59">
        <f t="shared" si="1220"/>
        <v>111618</v>
      </c>
      <c r="V14" s="59">
        <f t="shared" si="1220"/>
        <v>399781.63794797601</v>
      </c>
      <c r="W14" s="59">
        <f t="shared" si="1220"/>
        <v>656730.09999999998</v>
      </c>
      <c r="X14" s="62">
        <f t="shared" si="1220"/>
        <v>38.051624813216698</v>
      </c>
      <c r="Y14" s="62">
        <f t="shared" si="1220"/>
        <v>408.63636965460802</v>
      </c>
      <c r="Z14" s="62">
        <f t="shared" si="1220"/>
        <v>408.63636965460802</v>
      </c>
      <c r="AA14" s="59">
        <f t="shared" si="1220"/>
        <v>148899.730757793</v>
      </c>
      <c r="AB14" s="59">
        <f t="shared" si="1220"/>
        <v>561065.64343199995</v>
      </c>
      <c r="AC14" s="59">
        <f t="shared" si="1220"/>
        <v>39418.168728588498</v>
      </c>
      <c r="AD14" s="59">
        <f t="shared" si="1220"/>
        <v>10</v>
      </c>
      <c r="AE14" s="59">
        <f t="shared" si="1220"/>
        <v>0</v>
      </c>
      <c r="AF14" s="59">
        <f t="shared" si="1220"/>
        <v>2102</v>
      </c>
      <c r="AG14" s="59">
        <f t="shared" si="1220"/>
        <v>2102</v>
      </c>
      <c r="AH14" s="59">
        <f t="shared" si="1220"/>
        <v>24000.758792154698</v>
      </c>
      <c r="AI14" s="59">
        <f t="shared" si="1220"/>
        <v>47.393033837488296</v>
      </c>
      <c r="AJ14" s="59">
        <f t="shared" si="1220"/>
        <v>47.393033837488296</v>
      </c>
      <c r="AK14" s="59">
        <f t="shared" si="1220"/>
        <v>21902.553568158299</v>
      </c>
      <c r="AL14" s="59">
        <f t="shared" si="1220"/>
        <v>0</v>
      </c>
      <c r="AM14" s="59">
        <f t="shared" si="1220"/>
        <v>2400</v>
      </c>
      <c r="AN14" s="59">
        <f t="shared" si="1220"/>
        <v>129</v>
      </c>
      <c r="AO14" s="59">
        <f t="shared" si="1220"/>
        <v>77400</v>
      </c>
      <c r="AP14" s="59"/>
      <c r="AQ14" s="59"/>
      <c r="AR14" s="59"/>
      <c r="AS14" s="59">
        <f>SUM(SUMIF($E:$E,"国家",AS:AS))+SUM(SUMIF($E:$E,"省级",AS:AS))</f>
        <v>15200</v>
      </c>
      <c r="AT14" s="59"/>
      <c r="AU14" s="59">
        <f>SUM(SUMIF($E:$E,"国家",AU:AU))+SUM(SUMIF($E:$E,"省级",AU:AU))</f>
        <v>21600</v>
      </c>
      <c r="AV14" s="62"/>
      <c r="AW14" s="59">
        <f t="shared" ref="AW14:BC14" si="1221">SUM(SUMIF($E:$E,"国家",AW:AW))+SUM(SUMIF($E:$E,"省级",AW:AW))</f>
        <v>16900.231812685899</v>
      </c>
      <c r="AX14" s="59">
        <f t="shared" si="1221"/>
        <v>66505.357776702498</v>
      </c>
      <c r="AY14" s="59">
        <f t="shared" si="1221"/>
        <v>0</v>
      </c>
      <c r="AZ14" s="59">
        <f t="shared" si="1221"/>
        <v>1089881.03668744</v>
      </c>
      <c r="BA14" s="59">
        <f t="shared" si="1221"/>
        <v>1230687</v>
      </c>
      <c r="BB14" s="59">
        <f t="shared" si="1221"/>
        <v>1117539.5425168499</v>
      </c>
      <c r="BC14" s="59">
        <f t="shared" si="1221"/>
        <v>-27658.505829410999</v>
      </c>
      <c r="BD14" s="43">
        <f t="shared" si="1211"/>
        <v>-2.4749465032011499e-002</v>
      </c>
    </row>
    <row r="15" s="5" customFormat="1" ht="17" customHeight="1">
      <c r="A15" s="44"/>
      <c r="B15" s="45" t="s">
        <v>66</v>
      </c>
      <c r="C15" s="46"/>
      <c r="D15" s="46"/>
      <c r="E15" s="46"/>
      <c r="F15" s="47"/>
      <c r="G15" s="59">
        <f t="shared" ref="G15:P15" si="1222">SUM(SUMIF($E:$E,"国家",G:G))</f>
        <v>3329899</v>
      </c>
      <c r="H15" s="60">
        <f t="shared" si="1222"/>
        <v>3122543.7999999998</v>
      </c>
      <c r="I15" s="59">
        <f t="shared" si="1222"/>
        <v>0</v>
      </c>
      <c r="J15" s="59">
        <f t="shared" si="1222"/>
        <v>0</v>
      </c>
      <c r="K15" s="59">
        <f t="shared" si="1222"/>
        <v>97768.800000000003</v>
      </c>
      <c r="L15" s="59">
        <f t="shared" si="1222"/>
        <v>1646217</v>
      </c>
      <c r="M15" s="59">
        <f t="shared" si="1222"/>
        <v>1378558</v>
      </c>
      <c r="N15" s="59">
        <f t="shared" si="1222"/>
        <v>470414</v>
      </c>
      <c r="O15" s="59">
        <f t="shared" si="1222"/>
        <v>648468</v>
      </c>
      <c r="P15" s="59">
        <f t="shared" si="1222"/>
        <v>416697.59999999998</v>
      </c>
      <c r="Q15" s="59">
        <v>62784</v>
      </c>
      <c r="R15" s="59">
        <f t="shared" ref="R15:AO15" si="1223">SUM(SUMIF($E:$E,"国家",R:R))</f>
        <v>46309</v>
      </c>
      <c r="S15" s="59">
        <f t="shared" si="1223"/>
        <v>254085</v>
      </c>
      <c r="T15" s="59">
        <f t="shared" si="1223"/>
        <v>70316</v>
      </c>
      <c r="U15" s="59">
        <f t="shared" si="1223"/>
        <v>74875</v>
      </c>
      <c r="V15" s="59">
        <f t="shared" si="1223"/>
        <v>304073.04725852702</v>
      </c>
      <c r="W15" s="59">
        <f t="shared" si="1223"/>
        <v>307678.10999999999</v>
      </c>
      <c r="X15" s="62">
        <f t="shared" si="1223"/>
        <v>18.573841943385698</v>
      </c>
      <c r="Y15" s="62">
        <f t="shared" si="1223"/>
        <v>292.65762534056699</v>
      </c>
      <c r="Z15" s="62">
        <f t="shared" si="1223"/>
        <v>292.65762534056699</v>
      </c>
      <c r="AA15" s="59">
        <f t="shared" si="1223"/>
        <v>106639.165902579</v>
      </c>
      <c r="AB15" s="59">
        <f t="shared" si="1223"/>
        <v>365641.13199999998</v>
      </c>
      <c r="AC15" s="59">
        <f t="shared" si="1223"/>
        <v>25688.444844217101</v>
      </c>
      <c r="AD15" s="59">
        <f t="shared" si="1223"/>
        <v>6</v>
      </c>
      <c r="AE15" s="59">
        <f t="shared" si="1223"/>
        <v>0</v>
      </c>
      <c r="AF15" s="59">
        <f t="shared" si="1223"/>
        <v>1270</v>
      </c>
      <c r="AG15" s="59">
        <f t="shared" si="1223"/>
        <v>1270</v>
      </c>
      <c r="AH15" s="59">
        <f t="shared" si="1223"/>
        <v>14500.9341893608</v>
      </c>
      <c r="AI15" s="59">
        <f t="shared" si="1223"/>
        <v>23.2013302853208</v>
      </c>
      <c r="AJ15" s="59">
        <f t="shared" si="1223"/>
        <v>23.2013302853208</v>
      </c>
      <c r="AK15" s="59">
        <f t="shared" si="1223"/>
        <v>10722.4277130958</v>
      </c>
      <c r="AL15" s="59">
        <f t="shared" si="1223"/>
        <v>0</v>
      </c>
      <c r="AM15" s="59">
        <f t="shared" si="1223"/>
        <v>1500</v>
      </c>
      <c r="AN15" s="59">
        <f t="shared" si="1223"/>
        <v>64</v>
      </c>
      <c r="AO15" s="59">
        <f t="shared" si="1223"/>
        <v>38400</v>
      </c>
      <c r="AP15" s="59"/>
      <c r="AQ15" s="59"/>
      <c r="AR15" s="59"/>
      <c r="AS15" s="59">
        <f>SUM(SUMIF($E:$E,"国家",AS:AS))</f>
        <v>8000</v>
      </c>
      <c r="AT15" s="59"/>
      <c r="AU15" s="59">
        <f>SUM(SUMIF($E:$E,"国家",AU:AU))</f>
        <v>12800</v>
      </c>
      <c r="AV15" s="62"/>
      <c r="AW15" s="59">
        <f t="shared" ref="AW15:BC15" si="1224">SUM(SUMIF($E:$E,"国家",AW:AW))</f>
        <v>8368.4410610595005</v>
      </c>
      <c r="AX15" s="59">
        <f t="shared" si="1224"/>
        <v>34083.947755430803</v>
      </c>
      <c r="AY15" s="59">
        <f t="shared" si="1224"/>
        <v>0</v>
      </c>
      <c r="AZ15" s="59">
        <f t="shared" si="1224"/>
        <v>853070.416048927</v>
      </c>
      <c r="BA15" s="59">
        <f t="shared" si="1224"/>
        <v>896099</v>
      </c>
      <c r="BB15" s="59">
        <f t="shared" si="1224"/>
        <v>813713.04524205602</v>
      </c>
      <c r="BC15" s="59">
        <f t="shared" si="1224"/>
        <v>39357.370806869898</v>
      </c>
      <c r="BD15" s="43">
        <f t="shared" si="1211"/>
        <v>4.8367629150104403e-002</v>
      </c>
    </row>
    <row r="16" s="5" customFormat="1" ht="17" customHeight="1">
      <c r="A16" s="44"/>
      <c r="B16" s="45" t="s">
        <v>68</v>
      </c>
      <c r="C16" s="46"/>
      <c r="D16" s="46"/>
      <c r="E16" s="46"/>
      <c r="F16" s="47"/>
      <c r="G16" s="59">
        <f t="shared" ref="G16:P16" si="1225">SUM(SUMIF($E:$E,"省级",G:G))</f>
        <v>1604389</v>
      </c>
      <c r="H16" s="60">
        <f t="shared" si="1225"/>
        <v>1353890</v>
      </c>
      <c r="I16" s="59">
        <f t="shared" si="1225"/>
        <v>0</v>
      </c>
      <c r="J16" s="59">
        <f t="shared" si="1225"/>
        <v>125671.7</v>
      </c>
      <c r="K16" s="59">
        <f t="shared" si="1225"/>
        <v>489451.20000000001</v>
      </c>
      <c r="L16" s="59">
        <f t="shared" si="1225"/>
        <v>668492.09999999998</v>
      </c>
      <c r="M16" s="59">
        <f t="shared" si="1225"/>
        <v>70275</v>
      </c>
      <c r="N16" s="59">
        <f t="shared" si="1225"/>
        <v>193022</v>
      </c>
      <c r="O16" s="59">
        <f t="shared" si="1225"/>
        <v>154323</v>
      </c>
      <c r="P16" s="59">
        <f t="shared" si="1225"/>
        <v>23369.400000000001</v>
      </c>
      <c r="Q16" s="59">
        <v>22089</v>
      </c>
      <c r="R16" s="59">
        <f t="shared" ref="R16:AO16" si="1226">SUM(SUMIF($E:$E,"省级",R:R))</f>
        <v>12645</v>
      </c>
      <c r="S16" s="59">
        <f t="shared" si="1226"/>
        <v>0</v>
      </c>
      <c r="T16" s="59">
        <f t="shared" si="1226"/>
        <v>0</v>
      </c>
      <c r="U16" s="59">
        <f t="shared" si="1226"/>
        <v>36743</v>
      </c>
      <c r="V16" s="59">
        <f t="shared" si="1226"/>
        <v>95708.590689449105</v>
      </c>
      <c r="W16" s="59">
        <f t="shared" si="1226"/>
        <v>349051.98999999999</v>
      </c>
      <c r="X16" s="62">
        <f t="shared" si="1226"/>
        <v>19.477782869831</v>
      </c>
      <c r="Y16" s="62">
        <f t="shared" si="1226"/>
        <v>115.97874431404099</v>
      </c>
      <c r="Z16" s="62">
        <f t="shared" si="1226"/>
        <v>115.97874431404099</v>
      </c>
      <c r="AA16" s="59">
        <f t="shared" si="1226"/>
        <v>42260.564855213699</v>
      </c>
      <c r="AB16" s="59">
        <f t="shared" si="1226"/>
        <v>195424.511432</v>
      </c>
      <c r="AC16" s="59">
        <f t="shared" si="1226"/>
        <v>13729.7238843714</v>
      </c>
      <c r="AD16" s="59">
        <f t="shared" si="1226"/>
        <v>4</v>
      </c>
      <c r="AE16" s="59">
        <f t="shared" si="1226"/>
        <v>0</v>
      </c>
      <c r="AF16" s="59">
        <f t="shared" si="1226"/>
        <v>832</v>
      </c>
      <c r="AG16" s="59">
        <f t="shared" si="1226"/>
        <v>832</v>
      </c>
      <c r="AH16" s="59">
        <f t="shared" si="1226"/>
        <v>9499.8246027938494</v>
      </c>
      <c r="AI16" s="59">
        <f t="shared" si="1226"/>
        <v>24.191703552167599</v>
      </c>
      <c r="AJ16" s="59">
        <f t="shared" si="1226"/>
        <v>24.191703552167599</v>
      </c>
      <c r="AK16" s="59">
        <f t="shared" si="1226"/>
        <v>11180.125855062501</v>
      </c>
      <c r="AL16" s="59">
        <f t="shared" si="1226"/>
        <v>0</v>
      </c>
      <c r="AM16" s="59">
        <f t="shared" si="1226"/>
        <v>900</v>
      </c>
      <c r="AN16" s="59">
        <f t="shared" si="1226"/>
        <v>65</v>
      </c>
      <c r="AO16" s="59">
        <f t="shared" si="1226"/>
        <v>39000</v>
      </c>
      <c r="AP16" s="59"/>
      <c r="AQ16" s="59"/>
      <c r="AR16" s="59"/>
      <c r="AS16" s="59">
        <f>SUM(SUMIF($E:$E,"省级",AS:AS))</f>
        <v>7200</v>
      </c>
      <c r="AT16" s="59"/>
      <c r="AU16" s="59">
        <f>SUM(SUMIF($E:$E,"省级",AU:AU))</f>
        <v>8800</v>
      </c>
      <c r="AV16" s="62"/>
      <c r="AW16" s="59">
        <f t="shared" ref="AW16:BC16" si="1227">SUM(SUMIF($E:$E,"省级",AW:AW))</f>
        <v>8531.7907516264404</v>
      </c>
      <c r="AX16" s="59">
        <f t="shared" si="1227"/>
        <v>32421.410021271698</v>
      </c>
      <c r="AY16" s="59">
        <f t="shared" si="1227"/>
        <v>0</v>
      </c>
      <c r="AZ16" s="59">
        <f t="shared" si="1227"/>
        <v>236810.62063851699</v>
      </c>
      <c r="BA16" s="59">
        <f t="shared" si="1227"/>
        <v>334588</v>
      </c>
      <c r="BB16" s="59">
        <f t="shared" si="1227"/>
        <v>303826.49727479799</v>
      </c>
      <c r="BC16" s="59">
        <f t="shared" si="1227"/>
        <v>-67015.876636280998</v>
      </c>
      <c r="BD16" s="43">
        <f t="shared" si="1211"/>
        <v>-0.22057285074668101</v>
      </c>
    </row>
    <row r="17" s="5" customFormat="1" ht="17" customHeight="1">
      <c r="A17" s="44"/>
      <c r="B17" s="45" t="s">
        <v>70</v>
      </c>
      <c r="C17" s="46"/>
      <c r="D17" s="46"/>
      <c r="E17" s="46"/>
      <c r="F17" s="47"/>
      <c r="G17" s="59">
        <f t="shared" ref="G17:P17" si="1228">SUM(SUMIF($F:$F,"是",G:G))</f>
        <v>1248591</v>
      </c>
      <c r="H17" s="60">
        <f t="shared" si="1228"/>
        <v>1088728.3</v>
      </c>
      <c r="I17" s="59">
        <f t="shared" si="1228"/>
        <v>51928.800000000003</v>
      </c>
      <c r="J17" s="59">
        <f t="shared" si="1228"/>
        <v>33762.400000000001</v>
      </c>
      <c r="K17" s="59">
        <f t="shared" si="1228"/>
        <v>252762.39999999999</v>
      </c>
      <c r="L17" s="59">
        <f t="shared" si="1228"/>
        <v>428249.70000000001</v>
      </c>
      <c r="M17" s="59">
        <f t="shared" si="1228"/>
        <v>322025</v>
      </c>
      <c r="N17" s="59">
        <f t="shared" si="1228"/>
        <v>179433</v>
      </c>
      <c r="O17" s="59">
        <f t="shared" si="1228"/>
        <v>162681</v>
      </c>
      <c r="P17" s="59">
        <f t="shared" si="1228"/>
        <v>48601.949999999997</v>
      </c>
      <c r="Q17" s="59">
        <v>21639</v>
      </c>
      <c r="R17" s="59">
        <f t="shared" ref="R17:AO17" si="1229">SUM(SUMIF($F:$F,"是",R:R))</f>
        <v>14281</v>
      </c>
      <c r="S17" s="59">
        <f t="shared" si="1229"/>
        <v>19955</v>
      </c>
      <c r="T17" s="59">
        <f t="shared" si="1229"/>
        <v>3391</v>
      </c>
      <c r="U17" s="59">
        <f t="shared" si="1229"/>
        <v>21435</v>
      </c>
      <c r="V17" s="59">
        <f t="shared" si="1229"/>
        <v>87079.219922323799</v>
      </c>
      <c r="W17" s="59">
        <f t="shared" si="1229"/>
        <v>307110.97999999998</v>
      </c>
      <c r="X17" s="62">
        <f t="shared" si="1229"/>
        <v>13.6117876011373</v>
      </c>
      <c r="Y17" s="62">
        <f t="shared" si="1229"/>
        <v>81.450511369335601</v>
      </c>
      <c r="Z17" s="62">
        <f t="shared" si="1229"/>
        <v>72.318470708534093</v>
      </c>
      <c r="AA17" s="59">
        <f t="shared" si="1229"/>
        <v>26351.547774412898</v>
      </c>
      <c r="AB17" s="59">
        <f t="shared" si="1229"/>
        <v>136483.88039999999</v>
      </c>
      <c r="AC17" s="59">
        <f t="shared" si="1229"/>
        <v>9588.7971208341005</v>
      </c>
      <c r="AD17" s="59">
        <f t="shared" si="1229"/>
        <v>2</v>
      </c>
      <c r="AE17" s="59">
        <f t="shared" si="1229"/>
        <v>0</v>
      </c>
      <c r="AF17" s="59">
        <f t="shared" si="1229"/>
        <v>482</v>
      </c>
      <c r="AG17" s="59">
        <f t="shared" si="1229"/>
        <v>442.5</v>
      </c>
      <c r="AH17" s="59">
        <f t="shared" si="1229"/>
        <v>5052.49084944264</v>
      </c>
      <c r="AI17" s="59">
        <f t="shared" si="1229"/>
        <v>19.739867944950799</v>
      </c>
      <c r="AJ17" s="59">
        <f t="shared" si="1229"/>
        <v>18.7909180379764</v>
      </c>
      <c r="AK17" s="59">
        <f t="shared" si="1229"/>
        <v>8684.1684440993595</v>
      </c>
      <c r="AL17" s="59">
        <f t="shared" si="1229"/>
        <v>0</v>
      </c>
      <c r="AM17" s="59">
        <f t="shared" si="1229"/>
        <v>500</v>
      </c>
      <c r="AN17" s="59">
        <f t="shared" si="1229"/>
        <v>44</v>
      </c>
      <c r="AO17" s="59">
        <f t="shared" si="1229"/>
        <v>26400</v>
      </c>
      <c r="AP17" s="59"/>
      <c r="AQ17" s="59"/>
      <c r="AR17" s="59"/>
      <c r="AS17" s="59">
        <f t="shared" ref="AS17:BC17" si="1230">SUM(SUMIF($F:$F,"是",AS:AS))</f>
        <v>5400</v>
      </c>
      <c r="AT17" s="59"/>
      <c r="AU17" s="59">
        <f t="shared" si="1230"/>
        <v>6700</v>
      </c>
      <c r="AV17" s="62"/>
      <c r="AW17" s="59">
        <f t="shared" si="1230"/>
        <v>6360.4508646240602</v>
      </c>
      <c r="AX17" s="59">
        <f t="shared" si="1230"/>
        <v>26163.5937185029</v>
      </c>
      <c r="AY17" s="59">
        <f t="shared" si="1230"/>
        <v>0</v>
      </c>
      <c r="AZ17" s="59">
        <f t="shared" si="1230"/>
        <v>272454.92900151398</v>
      </c>
      <c r="BA17" s="59">
        <f t="shared" si="1230"/>
        <v>384502</v>
      </c>
      <c r="BB17" s="59">
        <f t="shared" si="1230"/>
        <v>349151.48138951301</v>
      </c>
      <c r="BC17" s="59">
        <f t="shared" si="1230"/>
        <v>-76696.552387999196</v>
      </c>
      <c r="BD17" s="43">
        <f t="shared" si="1211"/>
        <v>-0.21966555055923301</v>
      </c>
    </row>
    <row r="18" s="5" customFormat="1" ht="17" customHeight="1">
      <c r="A18" s="65"/>
      <c r="B18" s="66" t="s">
        <v>72</v>
      </c>
      <c r="C18" s="67">
        <v>1</v>
      </c>
      <c r="D18" s="67"/>
      <c r="E18" s="67"/>
      <c r="F18" s="68"/>
      <c r="G18" s="69">
        <f t="shared" ref="G18:P18" si="1231">G19+G20</f>
        <v>314463</v>
      </c>
      <c r="H18" s="69">
        <f t="shared" si="1231"/>
        <v>235879.10000000001</v>
      </c>
      <c r="I18" s="69">
        <f t="shared" si="1231"/>
        <v>10352.4</v>
      </c>
      <c r="J18" s="69">
        <f t="shared" si="1231"/>
        <v>85683.5</v>
      </c>
      <c r="K18" s="69">
        <f t="shared" si="1231"/>
        <v>139843.20000000001</v>
      </c>
      <c r="L18" s="69">
        <f t="shared" si="1231"/>
        <v>0</v>
      </c>
      <c r="M18" s="69">
        <f t="shared" si="1231"/>
        <v>0</v>
      </c>
      <c r="N18" s="69">
        <f t="shared" si="1231"/>
        <v>31197</v>
      </c>
      <c r="O18" s="69">
        <f t="shared" si="1231"/>
        <v>23091</v>
      </c>
      <c r="P18" s="69">
        <f t="shared" si="1231"/>
        <v>14577.200000000001</v>
      </c>
      <c r="Q18" s="59">
        <v>4542</v>
      </c>
      <c r="R18" s="69">
        <f t="shared" ref="R18:V18" si="1232">R19+R20</f>
        <v>0</v>
      </c>
      <c r="S18" s="69">
        <f t="shared" si="1232"/>
        <v>11852</v>
      </c>
      <c r="T18" s="69">
        <f t="shared" si="1232"/>
        <v>0</v>
      </c>
      <c r="U18" s="69">
        <f t="shared" si="1232"/>
        <v>4672</v>
      </c>
      <c r="V18" s="69">
        <f t="shared" si="1232"/>
        <v>18033.095531081901</v>
      </c>
      <c r="W18" s="69"/>
      <c r="X18" s="69">
        <f t="shared" ref="X18:AM18" si="1233">X19+X20</f>
        <v>5.7779626336529502</v>
      </c>
      <c r="Y18" s="69">
        <f t="shared" si="1233"/>
        <v>25.8112989378766</v>
      </c>
      <c r="Z18" s="69">
        <f t="shared" si="1233"/>
        <v>24.8040305447457</v>
      </c>
      <c r="AA18" s="69">
        <f t="shared" si="1233"/>
        <v>9038.1418397545203</v>
      </c>
      <c r="AB18" s="69">
        <f t="shared" si="1233"/>
        <v>51131.599699999999</v>
      </c>
      <c r="AC18" s="69">
        <f t="shared" si="1233"/>
        <v>3592.2962810705799</v>
      </c>
      <c r="AD18" s="69">
        <f t="shared" si="1233"/>
        <v>1</v>
      </c>
      <c r="AE18" s="69">
        <f t="shared" si="1233"/>
        <v>0</v>
      </c>
      <c r="AF18" s="69">
        <f t="shared" si="1233"/>
        <v>202</v>
      </c>
      <c r="AG18" s="69">
        <f t="shared" si="1233"/>
        <v>167.5</v>
      </c>
      <c r="AH18" s="69">
        <f t="shared" si="1233"/>
        <v>1912.5247848172701</v>
      </c>
      <c r="AI18" s="69">
        <f t="shared" si="1233"/>
        <v>6.9048654536998999</v>
      </c>
      <c r="AJ18" s="69">
        <f t="shared" si="1233"/>
        <v>4.9078416441760897</v>
      </c>
      <c r="AK18" s="69">
        <f t="shared" si="1233"/>
        <v>2268.1448266047901</v>
      </c>
      <c r="AL18" s="69">
        <f t="shared" si="1233"/>
        <v>0</v>
      </c>
      <c r="AM18" s="69">
        <f t="shared" si="1233"/>
        <v>200</v>
      </c>
      <c r="AN18" s="69">
        <v>13</v>
      </c>
      <c r="AO18" s="69">
        <f t="shared" ref="AO18:AQ18" si="1234">AO19+AO20</f>
        <v>7800</v>
      </c>
      <c r="AP18" s="69">
        <f t="shared" si="1234"/>
        <v>5413.4159697628002</v>
      </c>
      <c r="AQ18" s="69">
        <f t="shared" si="1234"/>
        <v>710.04999999999995</v>
      </c>
      <c r="AR18" s="69"/>
      <c r="AS18" s="69">
        <v>2400</v>
      </c>
      <c r="AT18" s="69"/>
      <c r="AU18" s="69">
        <v>2500</v>
      </c>
      <c r="AV18" s="71">
        <f t="shared" ref="AV18:AZ18" si="1235">AV19+AV20</f>
        <v>203.79087258158901</v>
      </c>
      <c r="AW18" s="69">
        <v>2757.1985347625</v>
      </c>
      <c r="AX18" s="69">
        <f t="shared" si="1235"/>
        <v>20600.114862737199</v>
      </c>
      <c r="AY18" s="69">
        <f t="shared" si="1235"/>
        <v>0</v>
      </c>
      <c r="AZ18" s="69">
        <f t="shared" si="1235"/>
        <v>55912.8177678543</v>
      </c>
      <c r="BA18" s="69">
        <v>59489</v>
      </c>
      <c r="BB18" s="69">
        <f>BB19+BB20</f>
        <v>54019.6734383195</v>
      </c>
      <c r="BC18" s="69">
        <f>BC19+BC20</f>
        <v>693.14432953481003</v>
      </c>
      <c r="BD18" s="336">
        <f t="shared" si="1211"/>
        <v>1.28313313542381e-002</v>
      </c>
    </row>
    <row r="19" s="5" customFormat="1" ht="17" customHeight="1">
      <c r="A19" s="44"/>
      <c r="B19" s="72" t="s">
        <v>74</v>
      </c>
      <c r="C19" s="46">
        <v>2</v>
      </c>
      <c r="D19" s="46"/>
      <c r="E19" s="46"/>
      <c r="F19" s="47"/>
      <c r="G19" s="73"/>
      <c r="H19" s="59"/>
      <c r="I19" s="59"/>
      <c r="J19" s="59"/>
      <c r="K19" s="59"/>
      <c r="L19" s="59"/>
      <c r="M19" s="59"/>
      <c r="N19" s="59"/>
      <c r="O19" s="59"/>
      <c r="P19" s="59">
        <f>L19*0.4+M19*0.6+N19*0.8+O19*1</f>
        <v>0</v>
      </c>
      <c r="Q19" s="59"/>
      <c r="R19" s="59"/>
      <c r="S19" s="59"/>
      <c r="T19" s="59"/>
      <c r="U19" s="59"/>
      <c r="V19" s="59"/>
      <c r="W19" s="59"/>
      <c r="X19" s="62"/>
      <c r="Y19" s="62"/>
      <c r="Z19" s="62"/>
      <c r="AA19" s="59"/>
      <c r="AB19" s="59"/>
      <c r="AC19" s="59"/>
      <c r="AD19" s="59"/>
      <c r="AE19" s="59"/>
      <c r="AF19" s="59"/>
      <c r="AG19" s="59"/>
      <c r="AH19" s="59"/>
      <c r="AI19" s="59"/>
      <c r="AJ19" s="59"/>
      <c r="AK19" s="59"/>
      <c r="AL19" s="59"/>
      <c r="AM19" s="59"/>
      <c r="AN19" s="59">
        <v>2</v>
      </c>
      <c r="AO19" s="59">
        <f>AN19*600</f>
        <v>1200</v>
      </c>
      <c r="AP19" s="59"/>
      <c r="AQ19" s="62"/>
      <c r="AR19" s="62"/>
      <c r="AS19" s="59"/>
      <c r="AT19" s="59"/>
      <c r="AU19" s="59"/>
      <c r="AV19" s="62"/>
      <c r="AW19" s="59"/>
      <c r="AX19" s="59"/>
      <c r="AY19" s="59"/>
      <c r="AZ19" s="59">
        <f t="shared" ref="AZ19:AZ34" si="1236">V19+AA19+AC19+AE19+AH19+AK19+AM19+AO19+AP19+AS19+AU19+AW19+AY19</f>
        <v>1200</v>
      </c>
      <c r="BA19" s="73"/>
      <c r="BB19" s="73"/>
      <c r="BC19" s="50"/>
      <c r="BD19" s="43"/>
    </row>
    <row r="20" s="5" customFormat="1" ht="17" customHeight="1">
      <c r="A20" s="75"/>
      <c r="B20" s="76" t="s">
        <v>76</v>
      </c>
      <c r="C20" s="77">
        <v>3</v>
      </c>
      <c r="D20" s="77"/>
      <c r="E20" s="77"/>
      <c r="F20" s="78"/>
      <c r="G20" s="79">
        <f t="shared" ref="G20:P20" si="1237">SUM(G21:G34)</f>
        <v>314463</v>
      </c>
      <c r="H20" s="79">
        <f t="shared" si="1237"/>
        <v>235879.10000000001</v>
      </c>
      <c r="I20" s="79">
        <f t="shared" si="1237"/>
        <v>10352.4</v>
      </c>
      <c r="J20" s="79">
        <f t="shared" si="1237"/>
        <v>85683.5</v>
      </c>
      <c r="K20" s="79">
        <f t="shared" si="1237"/>
        <v>139843.20000000001</v>
      </c>
      <c r="L20" s="79">
        <f t="shared" si="1237"/>
        <v>0</v>
      </c>
      <c r="M20" s="79">
        <f t="shared" si="1237"/>
        <v>0</v>
      </c>
      <c r="N20" s="79">
        <f t="shared" si="1237"/>
        <v>31197</v>
      </c>
      <c r="O20" s="79">
        <f t="shared" si="1237"/>
        <v>23091</v>
      </c>
      <c r="P20" s="79">
        <f t="shared" si="1237"/>
        <v>14577.200000000001</v>
      </c>
      <c r="Q20" s="59">
        <v>4542</v>
      </c>
      <c r="R20" s="79">
        <f t="shared" ref="R20:V20" si="1238">SUM(R21:R34)</f>
        <v>0</v>
      </c>
      <c r="S20" s="79">
        <f t="shared" si="1238"/>
        <v>11852</v>
      </c>
      <c r="T20" s="79">
        <f t="shared" si="1238"/>
        <v>0</v>
      </c>
      <c r="U20" s="79">
        <f t="shared" si="1238"/>
        <v>4672</v>
      </c>
      <c r="V20" s="79">
        <f t="shared" si="1238"/>
        <v>18033.095531081901</v>
      </c>
      <c r="W20" s="79"/>
      <c r="X20" s="79">
        <f t="shared" ref="X20:AM20" si="1239">SUM(X21:X34)</f>
        <v>5.7779626336529502</v>
      </c>
      <c r="Y20" s="79">
        <f t="shared" si="1239"/>
        <v>25.8112989378766</v>
      </c>
      <c r="Z20" s="79">
        <f t="shared" si="1239"/>
        <v>24.8040305447457</v>
      </c>
      <c r="AA20" s="79">
        <f t="shared" si="1239"/>
        <v>9038.1418397545203</v>
      </c>
      <c r="AB20" s="79">
        <f t="shared" si="1239"/>
        <v>51131.599699999999</v>
      </c>
      <c r="AC20" s="79">
        <f t="shared" si="1239"/>
        <v>3592.2962810705799</v>
      </c>
      <c r="AD20" s="79">
        <f t="shared" si="1239"/>
        <v>1</v>
      </c>
      <c r="AE20" s="79">
        <f t="shared" si="1239"/>
        <v>0</v>
      </c>
      <c r="AF20" s="79">
        <f t="shared" si="1239"/>
        <v>202</v>
      </c>
      <c r="AG20" s="79">
        <f t="shared" si="1239"/>
        <v>167.5</v>
      </c>
      <c r="AH20" s="79">
        <f t="shared" si="1239"/>
        <v>1912.5247848172701</v>
      </c>
      <c r="AI20" s="79">
        <f t="shared" si="1239"/>
        <v>6.9048654536998999</v>
      </c>
      <c r="AJ20" s="79">
        <f t="shared" si="1239"/>
        <v>4.9078416441760897</v>
      </c>
      <c r="AK20" s="79">
        <f t="shared" si="1239"/>
        <v>2268.1448266047901</v>
      </c>
      <c r="AL20" s="79">
        <f t="shared" si="1239"/>
        <v>0</v>
      </c>
      <c r="AM20" s="79">
        <f t="shared" si="1239"/>
        <v>200</v>
      </c>
      <c r="AN20" s="79">
        <v>11</v>
      </c>
      <c r="AO20" s="79">
        <f t="shared" ref="AO20:AQ20" si="1240">SUM(AO21:AO34)</f>
        <v>6600</v>
      </c>
      <c r="AP20" s="79">
        <f t="shared" si="1240"/>
        <v>5413.4159697628002</v>
      </c>
      <c r="AQ20" s="79">
        <f t="shared" si="1240"/>
        <v>710.04999999999995</v>
      </c>
      <c r="AR20" s="79"/>
      <c r="AS20" s="79">
        <v>2400</v>
      </c>
      <c r="AT20" s="79"/>
      <c r="AU20" s="79">
        <v>2500</v>
      </c>
      <c r="AV20" s="81">
        <f t="shared" ref="AV20:AZ20" si="1241">SUM(AV21:AV34)</f>
        <v>203.79087258158901</v>
      </c>
      <c r="AW20" s="79">
        <v>2757.1985347625</v>
      </c>
      <c r="AX20" s="79">
        <f t="shared" si="1241"/>
        <v>20600.114862737199</v>
      </c>
      <c r="AY20" s="79">
        <f t="shared" si="1241"/>
        <v>0</v>
      </c>
      <c r="AZ20" s="79">
        <f t="shared" si="1241"/>
        <v>54712.8177678543</v>
      </c>
      <c r="BA20" s="79">
        <v>59489</v>
      </c>
      <c r="BB20" s="79">
        <f>SUM(BB21:BB34)</f>
        <v>54019.6734383195</v>
      </c>
      <c r="BC20" s="79">
        <f>SUM(BC21:BC34)</f>
        <v>693.14432953481003</v>
      </c>
      <c r="BD20" s="337">
        <f t="shared" ref="BD20:BD83" si="1242">BC20/BB20</f>
        <v>1.28313313542381e-002</v>
      </c>
    </row>
    <row r="21" s="5" customFormat="1" ht="17" customHeight="1">
      <c r="A21" s="46">
        <v>1</v>
      </c>
      <c r="B21" s="82" t="s">
        <v>59</v>
      </c>
      <c r="C21" s="46" t="s">
        <v>78</v>
      </c>
      <c r="D21" s="46"/>
      <c r="E21" s="46"/>
      <c r="F21" s="47"/>
      <c r="G21" s="73">
        <v>3200</v>
      </c>
      <c r="H21" s="59">
        <f t="shared" ref="H21:H34" si="1243">SUM(I21:M21)</f>
        <v>1920</v>
      </c>
      <c r="I21" s="59">
        <f t="shared" ref="I21:I34" si="1244">IF(D21="",G21*0.6,0)</f>
        <v>1920</v>
      </c>
      <c r="J21" s="59">
        <f t="shared" ref="J21:J34" si="1245">IF(D21=2017,G21*0.7,0)</f>
        <v>0</v>
      </c>
      <c r="K21" s="59">
        <f t="shared" ref="K21:K34" si="1246">IF(D21=2018,G21*0.8,0)</f>
        <v>0</v>
      </c>
      <c r="L21" s="59">
        <f t="shared" ref="L21:L34" si="1247">IF(D21=2019,G21*0.9,0)</f>
        <v>0</v>
      </c>
      <c r="M21" s="59">
        <f t="shared" ref="M21:M34" si="1248">IF(D21=2020,G21*1,0)</f>
        <v>0</v>
      </c>
      <c r="N21" s="59"/>
      <c r="O21" s="59"/>
      <c r="P21" s="59">
        <f>Q21*0.6+R21*0.8+S21*1+T21*1.25</f>
        <v>0</v>
      </c>
      <c r="Q21" s="59"/>
      <c r="R21" s="59"/>
      <c r="S21" s="59"/>
      <c r="T21" s="59"/>
      <c r="U21" s="59">
        <v>75</v>
      </c>
      <c r="V21" s="59">
        <f t="shared" ref="V21:V34" si="1249">H21/$H$9*(134866+26973)+N21/$N$9*202299+P21/$P$9*100000+U21/$U$9*34867</f>
        <v>72.090932616494499</v>
      </c>
      <c r="W21" s="59">
        <v>11716.66</v>
      </c>
      <c r="X21" s="62">
        <f>($W$64-W21)/($W$64-$W$44)</f>
        <v>0.63609283171588904</v>
      </c>
      <c r="Y21" s="62">
        <f>(G21+N21)*X21/10000</f>
        <v>0.20354970614908499</v>
      </c>
      <c r="Z21" s="62">
        <f>Y21*0.2</f>
        <v>4.0709941229816901e-002</v>
      </c>
      <c r="AA21" s="59">
        <f>Z21/$Z$9*(1348663*0.1+30000)</f>
        <v>14.8339691188252</v>
      </c>
      <c r="AB21" s="59">
        <v>243.59999999999999</v>
      </c>
      <c r="AC21" s="59">
        <f>(AB21/$AB$9*1348663*0.037)</f>
        <v>17.114335933221199</v>
      </c>
      <c r="AD21" s="59"/>
      <c r="AE21" s="59"/>
      <c r="AF21" s="59">
        <v>0</v>
      </c>
      <c r="AG21" s="59">
        <f>AF21*0.5</f>
        <v>0</v>
      </c>
      <c r="AH21" s="59">
        <f t="shared" ref="AH21:AH34" si="1250">AG21/$AG$9*40459.89</f>
        <v>0</v>
      </c>
      <c r="AI21" s="59">
        <v>0</v>
      </c>
      <c r="AJ21" s="59">
        <f>AI21*0.5</f>
        <v>0</v>
      </c>
      <c r="AK21" s="59">
        <f t="shared" ref="AK21:AK34" si="1251">AJ21/$AJ$9*40459.89</f>
        <v>0</v>
      </c>
      <c r="AL21" s="189"/>
      <c r="AM21" s="59"/>
      <c r="AN21" s="59"/>
      <c r="AO21" s="59"/>
      <c r="AP21" s="59"/>
      <c r="AQ21" s="62">
        <v>76.530000000000001</v>
      </c>
      <c r="AR21" s="62" t="s">
        <v>440</v>
      </c>
      <c r="AS21" s="59"/>
      <c r="AT21" s="59"/>
      <c r="AU21" s="59"/>
      <c r="AV21" s="62">
        <v>15.821138470634599</v>
      </c>
      <c r="AW21" s="59">
        <f>AV21/$AV$9*35993</f>
        <v>404.20057712052198</v>
      </c>
      <c r="AX21" s="59">
        <v>2194.3848265535298</v>
      </c>
      <c r="AY21" s="59"/>
      <c r="AZ21" s="59">
        <f t="shared" si="1236"/>
        <v>508.23981478906302</v>
      </c>
      <c r="BA21" s="59">
        <v>642</v>
      </c>
      <c r="BB21" s="59">
        <f t="shared" ref="BB21:BB34" si="1252">BA21/$BA$9*1348663</f>
        <v>582.97551391687796</v>
      </c>
      <c r="BC21" s="59">
        <f t="shared" ref="BC21:BC34" si="1253">AZ21-BB21</f>
        <v>-74.735699127814897</v>
      </c>
      <c r="BD21" s="43">
        <f t="shared" si="1242"/>
        <v>-0.12819697799258001</v>
      </c>
    </row>
    <row r="22" ht="17" customHeight="1">
      <c r="A22" s="46">
        <v>2</v>
      </c>
      <c r="B22" s="82" t="s">
        <v>57</v>
      </c>
      <c r="C22" s="46" t="s">
        <v>78</v>
      </c>
      <c r="D22" s="46"/>
      <c r="E22" s="46"/>
      <c r="F22" s="47"/>
      <c r="G22" s="73"/>
      <c r="H22" s="59">
        <f t="shared" si="1243"/>
        <v>0</v>
      </c>
      <c r="I22" s="59">
        <f t="shared" si="1244"/>
        <v>0</v>
      </c>
      <c r="J22" s="59">
        <f t="shared" si="1245"/>
        <v>0</v>
      </c>
      <c r="K22" s="59">
        <f t="shared" si="1246"/>
        <v>0</v>
      </c>
      <c r="L22" s="59">
        <f t="shared" si="1247"/>
        <v>0</v>
      </c>
      <c r="M22" s="59">
        <f t="shared" si="1248"/>
        <v>0</v>
      </c>
      <c r="N22" s="59">
        <v>11</v>
      </c>
      <c r="O22" s="59"/>
      <c r="P22" s="59"/>
      <c r="Q22" s="59"/>
      <c r="R22" s="59"/>
      <c r="S22" s="59"/>
      <c r="T22" s="59"/>
      <c r="U22" s="59">
        <v>0</v>
      </c>
      <c r="V22" s="59">
        <f t="shared" si="1249"/>
        <v>2.48119996431996</v>
      </c>
      <c r="W22" s="59">
        <v>11985.23</v>
      </c>
      <c r="X22" s="62"/>
      <c r="Y22" s="62"/>
      <c r="Z22" s="62"/>
      <c r="AA22" s="59"/>
      <c r="AB22" s="59"/>
      <c r="AC22" s="59"/>
      <c r="AD22" s="59"/>
      <c r="AE22" s="59"/>
      <c r="AF22" s="59"/>
      <c r="AG22" s="59"/>
      <c r="AH22" s="59">
        <f t="shared" si="1250"/>
        <v>0</v>
      </c>
      <c r="AI22" s="59"/>
      <c r="AJ22" s="59"/>
      <c r="AK22" s="59">
        <f t="shared" si="1251"/>
        <v>0</v>
      </c>
      <c r="AL22" s="338" t="s">
        <v>1544</v>
      </c>
      <c r="AM22" s="59">
        <v>100</v>
      </c>
      <c r="AN22" s="59"/>
      <c r="AO22" s="59"/>
      <c r="AP22" s="59"/>
      <c r="AQ22" s="62"/>
      <c r="AR22" s="62"/>
      <c r="AS22" s="59"/>
      <c r="AT22" s="59"/>
      <c r="AU22" s="59"/>
      <c r="AV22" s="62">
        <v>20.019069622236302</v>
      </c>
      <c r="AW22" s="59"/>
      <c r="AX22" s="59">
        <v>1396.8804591964099</v>
      </c>
      <c r="AY22" s="59"/>
      <c r="AZ22" s="172">
        <f>V22+AA22+AC22+AE22+AH22+AK22+AM22+AO22+AP22+AS22+AU22+AW22+AY22-2</f>
        <v>100.48119996432</v>
      </c>
      <c r="BA22" s="59">
        <v>0</v>
      </c>
      <c r="BB22" s="59">
        <f t="shared" si="1252"/>
        <v>0</v>
      </c>
      <c r="BC22" s="59">
        <f t="shared" si="1253"/>
        <v>100.48119996432</v>
      </c>
      <c r="BD22" s="43"/>
    </row>
    <row r="23" ht="17" customHeight="1">
      <c r="A23" s="46">
        <v>3</v>
      </c>
      <c r="B23" s="82" t="s">
        <v>63</v>
      </c>
      <c r="C23" s="46" t="s">
        <v>78</v>
      </c>
      <c r="D23" s="46"/>
      <c r="E23" s="46"/>
      <c r="F23" s="47"/>
      <c r="G23" s="73"/>
      <c r="H23" s="59">
        <f t="shared" si="1243"/>
        <v>0</v>
      </c>
      <c r="I23" s="59">
        <f t="shared" si="1244"/>
        <v>0</v>
      </c>
      <c r="J23" s="59">
        <f t="shared" si="1245"/>
        <v>0</v>
      </c>
      <c r="K23" s="59">
        <f t="shared" si="1246"/>
        <v>0</v>
      </c>
      <c r="L23" s="59">
        <f t="shared" si="1247"/>
        <v>0</v>
      </c>
      <c r="M23" s="59">
        <f t="shared" si="1248"/>
        <v>0</v>
      </c>
      <c r="N23" s="59"/>
      <c r="O23" s="59"/>
      <c r="P23" s="59"/>
      <c r="Q23" s="59"/>
      <c r="R23" s="59"/>
      <c r="S23" s="59"/>
      <c r="T23" s="59"/>
      <c r="U23" s="59">
        <v>0</v>
      </c>
      <c r="V23" s="59">
        <f t="shared" si="1249"/>
        <v>0</v>
      </c>
      <c r="W23" s="59">
        <v>12812.84</v>
      </c>
      <c r="X23" s="62"/>
      <c r="Y23" s="62"/>
      <c r="Z23" s="62"/>
      <c r="AA23" s="59"/>
      <c r="AB23" s="59"/>
      <c r="AC23" s="59"/>
      <c r="AD23" s="59"/>
      <c r="AE23" s="59"/>
      <c r="AF23" s="59"/>
      <c r="AG23" s="59"/>
      <c r="AH23" s="59">
        <f t="shared" si="1250"/>
        <v>0</v>
      </c>
      <c r="AI23" s="59"/>
      <c r="AJ23" s="59"/>
      <c r="AK23" s="59">
        <f t="shared" si="1251"/>
        <v>0</v>
      </c>
      <c r="AL23" s="338"/>
      <c r="AM23" s="59"/>
      <c r="AN23" s="59"/>
      <c r="AO23" s="59"/>
      <c r="AP23" s="59"/>
      <c r="AQ23" s="62"/>
      <c r="AR23" s="62"/>
      <c r="AS23" s="59"/>
      <c r="AT23" s="59"/>
      <c r="AU23" s="59"/>
      <c r="AV23" s="62">
        <v>15.824858406172501</v>
      </c>
      <c r="AW23" s="59"/>
      <c r="AX23" s="59">
        <v>2500</v>
      </c>
      <c r="AY23" s="59"/>
      <c r="AZ23" s="59">
        <f t="shared" si="1236"/>
        <v>0</v>
      </c>
      <c r="BA23" s="59">
        <v>0</v>
      </c>
      <c r="BB23" s="59">
        <f t="shared" si="1252"/>
        <v>0</v>
      </c>
      <c r="BC23" s="59">
        <f t="shared" si="1253"/>
        <v>0</v>
      </c>
      <c r="BD23" s="43"/>
    </row>
    <row r="24" ht="17" customHeight="1">
      <c r="A24" s="46">
        <v>4</v>
      </c>
      <c r="B24" s="82" t="s">
        <v>61</v>
      </c>
      <c r="C24" s="46" t="s">
        <v>78</v>
      </c>
      <c r="D24" s="46"/>
      <c r="E24" s="46"/>
      <c r="F24" s="47"/>
      <c r="G24" s="73"/>
      <c r="H24" s="59">
        <f t="shared" si="1243"/>
        <v>0</v>
      </c>
      <c r="I24" s="59">
        <f t="shared" si="1244"/>
        <v>0</v>
      </c>
      <c r="J24" s="59">
        <f t="shared" si="1245"/>
        <v>0</v>
      </c>
      <c r="K24" s="59">
        <f t="shared" si="1246"/>
        <v>0</v>
      </c>
      <c r="L24" s="59">
        <f t="shared" si="1247"/>
        <v>0</v>
      </c>
      <c r="M24" s="59">
        <f t="shared" si="1248"/>
        <v>0</v>
      </c>
      <c r="N24" s="59"/>
      <c r="O24" s="59"/>
      <c r="P24" s="59"/>
      <c r="Q24" s="59"/>
      <c r="R24" s="59"/>
      <c r="S24" s="59"/>
      <c r="T24" s="59"/>
      <c r="U24" s="59">
        <v>0</v>
      </c>
      <c r="V24" s="59">
        <f t="shared" si="1249"/>
        <v>0</v>
      </c>
      <c r="W24" s="59"/>
      <c r="X24" s="62"/>
      <c r="Y24" s="62"/>
      <c r="Z24" s="62"/>
      <c r="AA24" s="59"/>
      <c r="AB24" s="59"/>
      <c r="AC24" s="59"/>
      <c r="AD24" s="59"/>
      <c r="AE24" s="59"/>
      <c r="AF24" s="59"/>
      <c r="AG24" s="59"/>
      <c r="AH24" s="59">
        <f t="shared" si="1250"/>
        <v>0</v>
      </c>
      <c r="AI24" s="59"/>
      <c r="AJ24" s="59"/>
      <c r="AK24" s="59">
        <f t="shared" si="1251"/>
        <v>0</v>
      </c>
      <c r="AL24" s="338"/>
      <c r="AM24" s="59"/>
      <c r="AN24" s="59"/>
      <c r="AO24" s="59"/>
      <c r="AP24" s="59"/>
      <c r="AQ24" s="62"/>
      <c r="AR24" s="62"/>
      <c r="AS24" s="59"/>
      <c r="AT24" s="59"/>
      <c r="AU24" s="59"/>
      <c r="AV24" s="62">
        <v>20.0072251363753</v>
      </c>
      <c r="AW24" s="59"/>
      <c r="AX24" s="59">
        <v>2499.37609183928</v>
      </c>
      <c r="AY24" s="59"/>
      <c r="AZ24" s="59">
        <f t="shared" si="1236"/>
        <v>0</v>
      </c>
      <c r="BA24" s="59">
        <v>0</v>
      </c>
      <c r="BB24" s="59">
        <f t="shared" si="1252"/>
        <v>0</v>
      </c>
      <c r="BC24" s="59">
        <f t="shared" si="1253"/>
        <v>0</v>
      </c>
      <c r="BD24" s="43"/>
    </row>
    <row r="25" ht="17" customHeight="1">
      <c r="A25" s="46">
        <v>5</v>
      </c>
      <c r="B25" s="82" t="s">
        <v>67</v>
      </c>
      <c r="C25" s="46" t="s">
        <v>78</v>
      </c>
      <c r="D25" s="46"/>
      <c r="E25" s="46"/>
      <c r="F25" s="47"/>
      <c r="G25" s="73"/>
      <c r="H25" s="59">
        <f t="shared" si="1243"/>
        <v>0</v>
      </c>
      <c r="I25" s="59">
        <f t="shared" si="1244"/>
        <v>0</v>
      </c>
      <c r="J25" s="59">
        <f t="shared" si="1245"/>
        <v>0</v>
      </c>
      <c r="K25" s="59">
        <f t="shared" si="1246"/>
        <v>0</v>
      </c>
      <c r="L25" s="59">
        <f t="shared" si="1247"/>
        <v>0</v>
      </c>
      <c r="M25" s="59">
        <f t="shared" si="1248"/>
        <v>0</v>
      </c>
      <c r="N25" s="59"/>
      <c r="O25" s="59"/>
      <c r="P25" s="59"/>
      <c r="Q25" s="59"/>
      <c r="R25" s="59"/>
      <c r="S25" s="59"/>
      <c r="T25" s="59"/>
      <c r="U25" s="59">
        <v>0</v>
      </c>
      <c r="V25" s="59">
        <f t="shared" si="1249"/>
        <v>0</v>
      </c>
      <c r="W25" s="59">
        <v>16020.01</v>
      </c>
      <c r="X25" s="62"/>
      <c r="Y25" s="62"/>
      <c r="Z25" s="62"/>
      <c r="AA25" s="59"/>
      <c r="AB25" s="59"/>
      <c r="AC25" s="59"/>
      <c r="AD25" s="59"/>
      <c r="AE25" s="59"/>
      <c r="AF25" s="59"/>
      <c r="AG25" s="59"/>
      <c r="AH25" s="59">
        <f t="shared" si="1250"/>
        <v>0</v>
      </c>
      <c r="AI25" s="59"/>
      <c r="AJ25" s="59"/>
      <c r="AK25" s="59">
        <f t="shared" si="1251"/>
        <v>0</v>
      </c>
      <c r="AL25" s="338"/>
      <c r="AM25" s="59"/>
      <c r="AN25" s="59"/>
      <c r="AO25" s="59"/>
      <c r="AP25" s="59"/>
      <c r="AQ25" s="62"/>
      <c r="AR25" s="62"/>
      <c r="AS25" s="59"/>
      <c r="AT25" s="59"/>
      <c r="AU25" s="59"/>
      <c r="AV25" s="62">
        <v>20.0066329120822</v>
      </c>
      <c r="AW25" s="59"/>
      <c r="AX25" s="59">
        <v>1675.44877932025</v>
      </c>
      <c r="AY25" s="59"/>
      <c r="AZ25" s="59">
        <f t="shared" si="1236"/>
        <v>0</v>
      </c>
      <c r="BA25" s="59">
        <v>0</v>
      </c>
      <c r="BB25" s="59">
        <f t="shared" si="1252"/>
        <v>0</v>
      </c>
      <c r="BC25" s="59">
        <f t="shared" si="1253"/>
        <v>0</v>
      </c>
      <c r="BD25" s="43"/>
    </row>
    <row r="26" ht="17" customHeight="1">
      <c r="A26" s="46">
        <v>6</v>
      </c>
      <c r="B26" s="82" t="s">
        <v>81</v>
      </c>
      <c r="C26" s="46" t="s">
        <v>78</v>
      </c>
      <c r="D26" s="46"/>
      <c r="E26" s="46"/>
      <c r="F26" s="47"/>
      <c r="G26" s="73"/>
      <c r="H26" s="59">
        <f t="shared" si="1243"/>
        <v>0</v>
      </c>
      <c r="I26" s="59">
        <f t="shared" si="1244"/>
        <v>0</v>
      </c>
      <c r="J26" s="59">
        <f t="shared" si="1245"/>
        <v>0</v>
      </c>
      <c r="K26" s="59">
        <f t="shared" si="1246"/>
        <v>0</v>
      </c>
      <c r="L26" s="59">
        <f t="shared" si="1247"/>
        <v>0</v>
      </c>
      <c r="M26" s="59">
        <f t="shared" si="1248"/>
        <v>0</v>
      </c>
      <c r="N26" s="59"/>
      <c r="O26" s="59"/>
      <c r="P26" s="59"/>
      <c r="Q26" s="59"/>
      <c r="R26" s="59"/>
      <c r="S26" s="59"/>
      <c r="T26" s="59"/>
      <c r="U26" s="59">
        <v>0</v>
      </c>
      <c r="V26" s="59">
        <f t="shared" si="1249"/>
        <v>0</v>
      </c>
      <c r="W26" s="59">
        <v>14377.950000000001</v>
      </c>
      <c r="X26" s="62"/>
      <c r="Y26" s="62"/>
      <c r="Z26" s="62"/>
      <c r="AA26" s="59"/>
      <c r="AB26" s="59"/>
      <c r="AC26" s="59"/>
      <c r="AD26" s="59"/>
      <c r="AE26" s="59"/>
      <c r="AF26" s="59"/>
      <c r="AG26" s="59"/>
      <c r="AH26" s="59">
        <f t="shared" si="1250"/>
        <v>0</v>
      </c>
      <c r="AI26" s="59"/>
      <c r="AJ26" s="59"/>
      <c r="AK26" s="59">
        <f t="shared" si="1251"/>
        <v>0</v>
      </c>
      <c r="AL26" s="338"/>
      <c r="AM26" s="59"/>
      <c r="AN26" s="59"/>
      <c r="AO26" s="59"/>
      <c r="AP26" s="59"/>
      <c r="AQ26" s="62"/>
      <c r="AR26" s="62"/>
      <c r="AS26" s="59"/>
      <c r="AT26" s="59"/>
      <c r="AU26" s="59"/>
      <c r="AV26" s="62">
        <v>20.0113707064266</v>
      </c>
      <c r="AW26" s="59"/>
      <c r="AX26" s="59">
        <v>2501.00082496497</v>
      </c>
      <c r="AY26" s="59"/>
      <c r="AZ26" s="59">
        <f t="shared" si="1236"/>
        <v>0</v>
      </c>
      <c r="BA26" s="59">
        <v>0</v>
      </c>
      <c r="BB26" s="59">
        <f t="shared" si="1252"/>
        <v>0</v>
      </c>
      <c r="BC26" s="59">
        <f t="shared" si="1253"/>
        <v>0</v>
      </c>
      <c r="BD26" s="43"/>
    </row>
    <row r="27" ht="17" customHeight="1">
      <c r="A27" s="46">
        <v>7</v>
      </c>
      <c r="B27" s="82" t="s">
        <v>71</v>
      </c>
      <c r="C27" s="46" t="s">
        <v>78</v>
      </c>
      <c r="D27" s="46"/>
      <c r="E27" s="46"/>
      <c r="F27" s="47"/>
      <c r="G27" s="73">
        <v>2323</v>
      </c>
      <c r="H27" s="59">
        <f t="shared" si="1243"/>
        <v>1393.8</v>
      </c>
      <c r="I27" s="59">
        <f t="shared" si="1244"/>
        <v>1393.8</v>
      </c>
      <c r="J27" s="59">
        <f t="shared" si="1245"/>
        <v>0</v>
      </c>
      <c r="K27" s="59">
        <f t="shared" si="1246"/>
        <v>0</v>
      </c>
      <c r="L27" s="59">
        <f t="shared" si="1247"/>
        <v>0</v>
      </c>
      <c r="M27" s="59">
        <f t="shared" si="1248"/>
        <v>0</v>
      </c>
      <c r="N27" s="59">
        <v>723</v>
      </c>
      <c r="O27" s="59">
        <v>36</v>
      </c>
      <c r="P27" s="59">
        <f t="shared" ref="P27:P34" si="1254">Q27*0.6+R27*0.8+S27*1+T27*1.25</f>
        <v>0</v>
      </c>
      <c r="Q27" s="59"/>
      <c r="R27" s="59"/>
      <c r="S27" s="59"/>
      <c r="T27" s="59"/>
      <c r="U27" s="59">
        <v>59</v>
      </c>
      <c r="V27" s="59">
        <f t="shared" si="1249"/>
        <v>216.49286702532899</v>
      </c>
      <c r="W27" s="59">
        <v>11930.32</v>
      </c>
      <c r="X27" s="62">
        <f t="shared" ref="X27:X34" si="1255">($W$64-W27)/($W$64-$W$44)</f>
        <v>0.60161496977579598</v>
      </c>
      <c r="Y27" s="62">
        <f t="shared" ref="Y27:Y34" si="1256">(G27+N27)*X27/10000</f>
        <v>0.183251919793707</v>
      </c>
      <c r="Z27" s="62">
        <f t="shared" ref="Z27:Z31" si="1257">Y27*0.2</f>
        <v>3.6650383958741498e-002</v>
      </c>
      <c r="AA27" s="59">
        <f t="shared" ref="AA27:AA34" si="1258">Z27/$Z$9*(1348663*0.1+30000)</f>
        <v>13.3547395897212</v>
      </c>
      <c r="AB27" s="59">
        <v>128.80000000000001</v>
      </c>
      <c r="AC27" s="59">
        <f t="shared" ref="AC27:AC34" si="1259">(AB27/$AB$9*1348663*0.037)</f>
        <v>9.0489592290594896</v>
      </c>
      <c r="AD27" s="59"/>
      <c r="AE27" s="59"/>
      <c r="AF27" s="59">
        <v>7</v>
      </c>
      <c r="AG27" s="59">
        <f t="shared" ref="AG27:AG31" si="1260">AF27*0.5</f>
        <v>3.5</v>
      </c>
      <c r="AH27" s="59">
        <f t="shared" si="1250"/>
        <v>39.963204458868397</v>
      </c>
      <c r="AI27" s="59">
        <v>1</v>
      </c>
      <c r="AJ27" s="59">
        <f t="shared" ref="AJ27:AJ31" si="1261">AI27*0.5</f>
        <v>0.5</v>
      </c>
      <c r="AK27" s="59">
        <f t="shared" si="1251"/>
        <v>231.07355443062099</v>
      </c>
      <c r="AL27" s="338"/>
      <c r="AM27" s="59"/>
      <c r="AN27" s="59">
        <v>1</v>
      </c>
      <c r="AO27" s="59">
        <f t="shared" ref="AO27:AO34" si="1262">AN27*600</f>
        <v>600</v>
      </c>
      <c r="AP27" s="59"/>
      <c r="AQ27" s="62">
        <v>75.680000000000007</v>
      </c>
      <c r="AR27" s="62" t="s">
        <v>440</v>
      </c>
      <c r="AS27" s="59"/>
      <c r="AT27" s="59" t="s">
        <v>441</v>
      </c>
      <c r="AU27" s="59">
        <v>300</v>
      </c>
      <c r="AV27" s="62">
        <v>15.246573920762</v>
      </c>
      <c r="AW27" s="59">
        <f t="shared" ref="AW27:AW90" si="1263">AV27/$AV$9*35993</f>
        <v>389.52152459326197</v>
      </c>
      <c r="AX27" s="59">
        <v>2501.9656109616099</v>
      </c>
      <c r="AY27" s="59"/>
      <c r="AZ27" s="59">
        <f t="shared" si="1236"/>
        <v>1799.4548493268601</v>
      </c>
      <c r="BA27" s="59">
        <v>1297</v>
      </c>
      <c r="BB27" s="59">
        <f t="shared" si="1252"/>
        <v>1177.7558279597999</v>
      </c>
      <c r="BC27" s="59">
        <f t="shared" si="1253"/>
        <v>621.69902136706298</v>
      </c>
      <c r="BD27" s="43">
        <f t="shared" si="1242"/>
        <v>0.52786749732669003</v>
      </c>
    </row>
    <row r="28" s="5" customFormat="1" ht="17" customHeight="1">
      <c r="A28" s="46">
        <v>8</v>
      </c>
      <c r="B28" s="82" t="s">
        <v>69</v>
      </c>
      <c r="C28" s="46" t="s">
        <v>78</v>
      </c>
      <c r="D28" s="46"/>
      <c r="E28" s="46"/>
      <c r="F28" s="46"/>
      <c r="G28" s="73">
        <v>1149</v>
      </c>
      <c r="H28" s="59">
        <f t="shared" si="1243"/>
        <v>689.39999999999998</v>
      </c>
      <c r="I28" s="59">
        <f t="shared" si="1244"/>
        <v>689.39999999999998</v>
      </c>
      <c r="J28" s="59">
        <f t="shared" si="1245"/>
        <v>0</v>
      </c>
      <c r="K28" s="59">
        <f t="shared" si="1246"/>
        <v>0</v>
      </c>
      <c r="L28" s="59">
        <f t="shared" si="1247"/>
        <v>0</v>
      </c>
      <c r="M28" s="59">
        <f t="shared" si="1248"/>
        <v>0</v>
      </c>
      <c r="N28" s="59">
        <v>99</v>
      </c>
      <c r="O28" s="59">
        <v>0</v>
      </c>
      <c r="P28" s="59">
        <f t="shared" si="1254"/>
        <v>0</v>
      </c>
      <c r="Q28" s="59"/>
      <c r="R28" s="59"/>
      <c r="S28" s="59"/>
      <c r="T28" s="59"/>
      <c r="U28" s="59">
        <v>0</v>
      </c>
      <c r="V28" s="59">
        <f t="shared" si="1249"/>
        <v>41.849058060538702</v>
      </c>
      <c r="W28" s="59">
        <v>14355.059999999999</v>
      </c>
      <c r="X28" s="62">
        <f t="shared" si="1255"/>
        <v>0.21033980848859599</v>
      </c>
      <c r="Y28" s="62">
        <f t="shared" si="1256"/>
        <v>2.6250408099376801e-002</v>
      </c>
      <c r="Z28" s="62">
        <f t="shared" si="1257"/>
        <v>5.25008161987537e-003</v>
      </c>
      <c r="AA28" s="59">
        <f t="shared" si="1258"/>
        <v>1.9130351522959801</v>
      </c>
      <c r="AB28" s="59">
        <v>72</v>
      </c>
      <c r="AC28" s="59">
        <f t="shared" si="1259"/>
        <v>5.0584244137599601</v>
      </c>
      <c r="AD28" s="59"/>
      <c r="AE28" s="59"/>
      <c r="AF28" s="59"/>
      <c r="AG28" s="59">
        <f t="shared" si="1260"/>
        <v>0</v>
      </c>
      <c r="AH28" s="59">
        <f t="shared" si="1250"/>
        <v>0</v>
      </c>
      <c r="AI28" s="59"/>
      <c r="AJ28" s="59">
        <f t="shared" si="1261"/>
        <v>0</v>
      </c>
      <c r="AK28" s="59">
        <f t="shared" si="1251"/>
        <v>0</v>
      </c>
      <c r="AL28" s="338"/>
      <c r="AM28" s="59"/>
      <c r="AN28" s="59">
        <v>1</v>
      </c>
      <c r="AO28" s="59">
        <f t="shared" si="1262"/>
        <v>600</v>
      </c>
      <c r="AP28" s="59"/>
      <c r="AQ28" s="62">
        <v>81.579999999999998</v>
      </c>
      <c r="AR28" s="62" t="s">
        <v>442</v>
      </c>
      <c r="AS28" s="59">
        <v>300</v>
      </c>
      <c r="AT28" s="59"/>
      <c r="AU28" s="59"/>
      <c r="AV28" s="62">
        <v>18.661218809923898</v>
      </c>
      <c r="AW28" s="59">
        <f t="shared" si="1263"/>
        <v>476.75933225310001</v>
      </c>
      <c r="AX28" s="59">
        <v>1984.32591569548</v>
      </c>
      <c r="AY28" s="59"/>
      <c r="AZ28" s="59">
        <f t="shared" si="1236"/>
        <v>1425.5798498796901</v>
      </c>
      <c r="BA28" s="59">
        <v>1346</v>
      </c>
      <c r="BB28" s="59">
        <f t="shared" si="1252"/>
        <v>1222.2508438195</v>
      </c>
      <c r="BC28" s="59">
        <f t="shared" si="1253"/>
        <v>203.329006060197</v>
      </c>
      <c r="BD28" s="43">
        <f t="shared" si="1242"/>
        <v>0.16635620019275199</v>
      </c>
    </row>
    <row r="29" ht="17" customHeight="1">
      <c r="A29" s="46">
        <v>9</v>
      </c>
      <c r="B29" s="82" t="s">
        <v>73</v>
      </c>
      <c r="C29" s="46" t="s">
        <v>78</v>
      </c>
      <c r="D29" s="46"/>
      <c r="E29" s="46"/>
      <c r="F29" s="46"/>
      <c r="G29" s="73">
        <v>3781</v>
      </c>
      <c r="H29" s="59">
        <f t="shared" si="1243"/>
        <v>2268.5999999999999</v>
      </c>
      <c r="I29" s="59">
        <f t="shared" si="1244"/>
        <v>2268.5999999999999</v>
      </c>
      <c r="J29" s="59">
        <f t="shared" si="1245"/>
        <v>0</v>
      </c>
      <c r="K29" s="59">
        <f t="shared" si="1246"/>
        <v>0</v>
      </c>
      <c r="L29" s="59">
        <f t="shared" si="1247"/>
        <v>0</v>
      </c>
      <c r="M29" s="59">
        <f t="shared" si="1248"/>
        <v>0</v>
      </c>
      <c r="N29" s="59">
        <v>1179</v>
      </c>
      <c r="O29" s="59">
        <v>18</v>
      </c>
      <c r="P29" s="59">
        <f t="shared" si="1254"/>
        <v>0</v>
      </c>
      <c r="Q29" s="59"/>
      <c r="R29" s="59"/>
      <c r="S29" s="59"/>
      <c r="T29" s="59"/>
      <c r="U29" s="59">
        <v>0</v>
      </c>
      <c r="V29" s="59">
        <f t="shared" si="1249"/>
        <v>330.16801338847</v>
      </c>
      <c r="W29" s="59">
        <v>11272.93</v>
      </c>
      <c r="X29" s="62">
        <f t="shared" si="1255"/>
        <v>0.70769660256058597</v>
      </c>
      <c r="Y29" s="62">
        <f t="shared" si="1256"/>
        <v>0.35101751487005101</v>
      </c>
      <c r="Z29" s="62">
        <f t="shared" si="1257"/>
        <v>7.0203502974010096e-002</v>
      </c>
      <c r="AA29" s="59">
        <f t="shared" si="1258"/>
        <v>25.580891637030401</v>
      </c>
      <c r="AB29" s="59">
        <v>234.90000000000001</v>
      </c>
      <c r="AC29" s="59">
        <f t="shared" si="1259"/>
        <v>16.503109649891901</v>
      </c>
      <c r="AD29" s="59"/>
      <c r="AE29" s="59"/>
      <c r="AF29" s="59">
        <v>38</v>
      </c>
      <c r="AG29" s="59">
        <f t="shared" si="1260"/>
        <v>19</v>
      </c>
      <c r="AH29" s="59">
        <f t="shared" si="1250"/>
        <v>216.94310991957099</v>
      </c>
      <c r="AI29" s="59">
        <v>1</v>
      </c>
      <c r="AJ29" s="59">
        <f t="shared" si="1261"/>
        <v>0.5</v>
      </c>
      <c r="AK29" s="59">
        <f t="shared" si="1251"/>
        <v>231.07355443062099</v>
      </c>
      <c r="AL29" s="338"/>
      <c r="AM29" s="59"/>
      <c r="AN29" s="59">
        <v>1</v>
      </c>
      <c r="AO29" s="59">
        <f t="shared" si="1262"/>
        <v>600</v>
      </c>
      <c r="AP29" s="59"/>
      <c r="AQ29" s="62">
        <v>71.969999999999999</v>
      </c>
      <c r="AR29" s="62" t="s">
        <v>440</v>
      </c>
      <c r="AS29" s="59"/>
      <c r="AT29" s="59" t="s">
        <v>443</v>
      </c>
      <c r="AU29" s="59"/>
      <c r="AV29" s="62">
        <v>6.8918351287220403e-002</v>
      </c>
      <c r="AW29" s="59">
        <f t="shared" si="1263"/>
        <v>1.76073532357953</v>
      </c>
      <c r="AX29" s="59">
        <v>12.065982797923301</v>
      </c>
      <c r="AY29" s="59"/>
      <c r="AZ29" s="59">
        <f t="shared" si="1236"/>
        <v>1422.0294143491601</v>
      </c>
      <c r="BA29" s="59">
        <v>1231</v>
      </c>
      <c r="BB29" s="59">
        <f t="shared" si="1252"/>
        <v>1117.82376578143</v>
      </c>
      <c r="BC29" s="59">
        <f t="shared" si="1253"/>
        <v>304.20564856773598</v>
      </c>
      <c r="BD29" s="43">
        <f t="shared" si="1242"/>
        <v>0.27214097416785299</v>
      </c>
    </row>
    <row r="30" ht="17" customHeight="1">
      <c r="A30" s="46">
        <v>10</v>
      </c>
      <c r="B30" s="82" t="s">
        <v>75</v>
      </c>
      <c r="C30" s="46" t="s">
        <v>78</v>
      </c>
      <c r="D30" s="46"/>
      <c r="E30" s="46"/>
      <c r="F30" s="46"/>
      <c r="G30" s="73">
        <v>3751</v>
      </c>
      <c r="H30" s="59">
        <f t="shared" si="1243"/>
        <v>2250.5999999999999</v>
      </c>
      <c r="I30" s="59">
        <f t="shared" si="1244"/>
        <v>2250.5999999999999</v>
      </c>
      <c r="J30" s="59">
        <f t="shared" si="1245"/>
        <v>0</v>
      </c>
      <c r="K30" s="59">
        <f t="shared" si="1246"/>
        <v>0</v>
      </c>
      <c r="L30" s="59">
        <f t="shared" si="1247"/>
        <v>0</v>
      </c>
      <c r="M30" s="59">
        <f t="shared" si="1248"/>
        <v>0</v>
      </c>
      <c r="N30" s="59">
        <v>362</v>
      </c>
      <c r="O30" s="59">
        <v>0</v>
      </c>
      <c r="P30" s="59">
        <f t="shared" si="1254"/>
        <v>0</v>
      </c>
      <c r="Q30" s="59"/>
      <c r="R30" s="59"/>
      <c r="S30" s="59"/>
      <c r="T30" s="59"/>
      <c r="U30" s="59">
        <v>108</v>
      </c>
      <c r="V30" s="59">
        <f t="shared" si="1249"/>
        <v>170.90697342866</v>
      </c>
      <c r="W30" s="59">
        <v>12043.469999999999</v>
      </c>
      <c r="X30" s="62">
        <f t="shared" si="1255"/>
        <v>0.58335619378346404</v>
      </c>
      <c r="Y30" s="62">
        <f t="shared" si="1256"/>
        <v>0.23993440250313899</v>
      </c>
      <c r="Z30" s="62">
        <f t="shared" si="1257"/>
        <v>4.7986880500627702e-002</v>
      </c>
      <c r="AA30" s="59">
        <f t="shared" si="1258"/>
        <v>17.4855546815112</v>
      </c>
      <c r="AB30" s="59">
        <v>382.06</v>
      </c>
      <c r="AC30" s="59">
        <f t="shared" si="1259"/>
        <v>26.841967104460199</v>
      </c>
      <c r="AD30" s="59"/>
      <c r="AE30" s="59"/>
      <c r="AF30" s="59">
        <v>16</v>
      </c>
      <c r="AG30" s="59">
        <f t="shared" si="1260"/>
        <v>8</v>
      </c>
      <c r="AH30" s="59">
        <f t="shared" si="1250"/>
        <v>91.344467334556199</v>
      </c>
      <c r="AI30" s="59">
        <v>1</v>
      </c>
      <c r="AJ30" s="59">
        <f t="shared" si="1261"/>
        <v>0.5</v>
      </c>
      <c r="AK30" s="59">
        <f t="shared" si="1251"/>
        <v>231.07355443062099</v>
      </c>
      <c r="AL30" s="338"/>
      <c r="AM30" s="59"/>
      <c r="AN30" s="59">
        <v>1</v>
      </c>
      <c r="AO30" s="59">
        <f t="shared" si="1262"/>
        <v>600</v>
      </c>
      <c r="AP30" s="59"/>
      <c r="AQ30" s="62">
        <v>70.379999999999995</v>
      </c>
      <c r="AR30" s="62" t="s">
        <v>440</v>
      </c>
      <c r="AS30" s="59"/>
      <c r="AT30" s="59" t="s">
        <v>441</v>
      </c>
      <c r="AU30" s="59">
        <v>300</v>
      </c>
      <c r="AV30" s="62">
        <v>14.7014573694227</v>
      </c>
      <c r="AW30" s="59">
        <f t="shared" si="1263"/>
        <v>375.594813499856</v>
      </c>
      <c r="AX30" s="59">
        <v>5.2068463585552198</v>
      </c>
      <c r="AY30" s="59"/>
      <c r="AZ30" s="59">
        <f t="shared" si="1236"/>
        <v>1813.2473304796699</v>
      </c>
      <c r="BA30" s="59">
        <v>1125</v>
      </c>
      <c r="BB30" s="59">
        <f t="shared" si="1252"/>
        <v>1021.56924167677</v>
      </c>
      <c r="BC30" s="59">
        <f t="shared" si="1253"/>
        <v>791.67808880289397</v>
      </c>
      <c r="BD30" s="43">
        <f t="shared" si="1242"/>
        <v>0.77496273038081898</v>
      </c>
    </row>
    <row r="31" ht="17" customHeight="1">
      <c r="A31" s="46">
        <v>11</v>
      </c>
      <c r="B31" s="82" t="s">
        <v>77</v>
      </c>
      <c r="C31" s="46" t="s">
        <v>78</v>
      </c>
      <c r="D31" s="46"/>
      <c r="E31" s="46"/>
      <c r="F31" s="46"/>
      <c r="G31" s="73">
        <v>3050</v>
      </c>
      <c r="H31" s="59">
        <f t="shared" si="1243"/>
        <v>1830</v>
      </c>
      <c r="I31" s="59">
        <f t="shared" si="1244"/>
        <v>1830</v>
      </c>
      <c r="J31" s="59">
        <f t="shared" si="1245"/>
        <v>0</v>
      </c>
      <c r="K31" s="59">
        <f t="shared" si="1246"/>
        <v>0</v>
      </c>
      <c r="L31" s="59">
        <f t="shared" si="1247"/>
        <v>0</v>
      </c>
      <c r="M31" s="59">
        <f t="shared" si="1248"/>
        <v>0</v>
      </c>
      <c r="N31" s="59">
        <v>501</v>
      </c>
      <c r="O31" s="59">
        <v>251</v>
      </c>
      <c r="P31" s="59">
        <f t="shared" si="1254"/>
        <v>0</v>
      </c>
      <c r="Q31" s="59"/>
      <c r="R31" s="59"/>
      <c r="S31" s="59"/>
      <c r="T31" s="59"/>
      <c r="U31" s="59">
        <v>0</v>
      </c>
      <c r="V31" s="59">
        <f t="shared" si="1249"/>
        <v>164.81824883024601</v>
      </c>
      <c r="W31" s="59">
        <v>11206.99</v>
      </c>
      <c r="X31" s="62">
        <f t="shared" si="1255"/>
        <v>0.71833720078360297</v>
      </c>
      <c r="Y31" s="62">
        <f t="shared" si="1256"/>
        <v>0.255081539998257</v>
      </c>
      <c r="Z31" s="62">
        <f t="shared" si="1257"/>
        <v>5.1016307999651497e-002</v>
      </c>
      <c r="AA31" s="59">
        <f t="shared" si="1258"/>
        <v>18.589423481383601</v>
      </c>
      <c r="AB31" s="59">
        <v>443</v>
      </c>
      <c r="AC31" s="59">
        <f t="shared" si="1259"/>
        <v>31.123361323550899</v>
      </c>
      <c r="AD31" s="59"/>
      <c r="AE31" s="59"/>
      <c r="AF31" s="59">
        <v>8</v>
      </c>
      <c r="AG31" s="59">
        <f t="shared" si="1260"/>
        <v>4</v>
      </c>
      <c r="AH31" s="59">
        <f t="shared" si="1250"/>
        <v>45.6722336672781</v>
      </c>
      <c r="AI31" s="59">
        <v>0.99404761904761896</v>
      </c>
      <c r="AJ31" s="59">
        <f t="shared" si="1261"/>
        <v>0.49702380952380898</v>
      </c>
      <c r="AK31" s="59">
        <f t="shared" si="1251"/>
        <v>229.69811660662899</v>
      </c>
      <c r="AL31" s="338" t="s">
        <v>1544</v>
      </c>
      <c r="AM31" s="59">
        <v>100</v>
      </c>
      <c r="AN31" s="59">
        <v>1</v>
      </c>
      <c r="AO31" s="59">
        <f t="shared" si="1262"/>
        <v>600</v>
      </c>
      <c r="AP31" s="59"/>
      <c r="AQ31" s="62">
        <v>81.930000000000007</v>
      </c>
      <c r="AR31" s="62" t="s">
        <v>442</v>
      </c>
      <c r="AS31" s="59">
        <v>300</v>
      </c>
      <c r="AT31" s="59" t="s">
        <v>441</v>
      </c>
      <c r="AU31" s="59">
        <v>300</v>
      </c>
      <c r="AV31" s="62">
        <v>15.263315124842199</v>
      </c>
      <c r="AW31" s="59">
        <f t="shared" si="1263"/>
        <v>389.94923113052999</v>
      </c>
      <c r="AX31" s="59">
        <v>14.778294783699801</v>
      </c>
      <c r="AY31" s="59"/>
      <c r="AZ31" s="59">
        <f t="shared" si="1236"/>
        <v>2179.8506150396202</v>
      </c>
      <c r="BA31" s="59">
        <v>1456</v>
      </c>
      <c r="BB31" s="59">
        <f t="shared" si="1252"/>
        <v>1322.13761411678</v>
      </c>
      <c r="BC31" s="59">
        <f t="shared" si="1253"/>
        <v>857.71300092283604</v>
      </c>
      <c r="BD31" s="43">
        <f t="shared" si="1242"/>
        <v>0.64873201682247505</v>
      </c>
    </row>
    <row r="32" ht="17" customHeight="1">
      <c r="A32" s="46">
        <v>12</v>
      </c>
      <c r="B32" s="82" t="s">
        <v>79</v>
      </c>
      <c r="C32" s="46" t="s">
        <v>90</v>
      </c>
      <c r="D32" s="46">
        <v>2018</v>
      </c>
      <c r="E32" s="46" t="s">
        <v>91</v>
      </c>
      <c r="F32" s="46"/>
      <c r="G32" s="73">
        <v>81053</v>
      </c>
      <c r="H32" s="59">
        <f t="shared" si="1243"/>
        <v>64842.400000000001</v>
      </c>
      <c r="I32" s="59">
        <f t="shared" si="1244"/>
        <v>0</v>
      </c>
      <c r="J32" s="59">
        <f t="shared" si="1245"/>
        <v>0</v>
      </c>
      <c r="K32" s="59">
        <f t="shared" si="1246"/>
        <v>64842.400000000001</v>
      </c>
      <c r="L32" s="59">
        <f t="shared" si="1247"/>
        <v>0</v>
      </c>
      <c r="M32" s="59">
        <f t="shared" si="1248"/>
        <v>0</v>
      </c>
      <c r="N32" s="59">
        <v>7206</v>
      </c>
      <c r="O32" s="59">
        <v>1833</v>
      </c>
      <c r="P32" s="59">
        <f t="shared" si="1254"/>
        <v>0</v>
      </c>
      <c r="Q32" s="59"/>
      <c r="R32" s="59"/>
      <c r="S32" s="59"/>
      <c r="T32" s="59"/>
      <c r="U32" s="59">
        <v>1604</v>
      </c>
      <c r="V32" s="59">
        <f t="shared" si="1249"/>
        <v>3840.45445860271</v>
      </c>
      <c r="W32" s="59">
        <v>10536.059999999999</v>
      </c>
      <c r="X32" s="62">
        <f t="shared" si="1255"/>
        <v>0.82660375470790803</v>
      </c>
      <c r="Y32" s="62">
        <f t="shared" si="1256"/>
        <v>7.2955220786765302</v>
      </c>
      <c r="Z32" s="62">
        <f t="shared" ref="Z32:Z34" si="1264">Y32*1</f>
        <v>7.2955220786765302</v>
      </c>
      <c r="AA32" s="59">
        <f t="shared" si="1258"/>
        <v>2658.35680306832</v>
      </c>
      <c r="AB32" s="59">
        <v>23053.16</v>
      </c>
      <c r="AC32" s="59">
        <f t="shared" si="1259"/>
        <v>1619.6203799765899</v>
      </c>
      <c r="AD32" s="59">
        <v>1</v>
      </c>
      <c r="AE32" s="59"/>
      <c r="AF32" s="59">
        <v>27</v>
      </c>
      <c r="AG32" s="59">
        <f t="shared" ref="AG32:AG34" si="1265">AF32</f>
        <v>27</v>
      </c>
      <c r="AH32" s="59">
        <f t="shared" si="1250"/>
        <v>308.28757725412697</v>
      </c>
      <c r="AI32" s="59">
        <v>0.91668337275971301</v>
      </c>
      <c r="AJ32" s="59">
        <f t="shared" ref="AJ32:AJ34" si="1266">AI32</f>
        <v>0.91668337275971301</v>
      </c>
      <c r="AK32" s="59">
        <f t="shared" si="1251"/>
        <v>423.64257046207399</v>
      </c>
      <c r="AL32" s="338"/>
      <c r="AM32" s="59"/>
      <c r="AN32" s="59">
        <v>2</v>
      </c>
      <c r="AO32" s="59">
        <f t="shared" si="1262"/>
        <v>1200</v>
      </c>
      <c r="AP32" s="59"/>
      <c r="AQ32" s="62">
        <v>85.920000000000002</v>
      </c>
      <c r="AR32" s="62" t="s">
        <v>442</v>
      </c>
      <c r="AS32" s="59">
        <v>600</v>
      </c>
      <c r="AT32" s="59" t="s">
        <v>443</v>
      </c>
      <c r="AU32" s="59"/>
      <c r="AV32" s="62">
        <v>6.3643504486645002</v>
      </c>
      <c r="AW32" s="59">
        <f t="shared" si="1263"/>
        <v>162.59728268747401</v>
      </c>
      <c r="AX32" s="59">
        <v>1280.4039554917799</v>
      </c>
      <c r="AY32" s="59"/>
      <c r="AZ32" s="59">
        <f t="shared" si="1236"/>
        <v>10812.959072051301</v>
      </c>
      <c r="BA32" s="59">
        <v>13982</v>
      </c>
      <c r="BB32" s="59">
        <f t="shared" si="1252"/>
        <v>12696.516566333001</v>
      </c>
      <c r="BC32" s="59">
        <f t="shared" si="1253"/>
        <v>-1883.55749428171</v>
      </c>
      <c r="BD32" s="43">
        <f t="shared" si="1242"/>
        <v>-0.14835230470035199</v>
      </c>
    </row>
    <row r="33" s="84" customFormat="1" ht="17" customHeight="1">
      <c r="A33" s="85">
        <v>13</v>
      </c>
      <c r="B33" s="86" t="s">
        <v>65</v>
      </c>
      <c r="C33" s="85" t="s">
        <v>93</v>
      </c>
      <c r="D33" s="85">
        <v>2018</v>
      </c>
      <c r="E33" s="46" t="s">
        <v>94</v>
      </c>
      <c r="F33" s="46"/>
      <c r="G33" s="73">
        <v>93751</v>
      </c>
      <c r="H33" s="59">
        <f t="shared" si="1243"/>
        <v>75000.800000000003</v>
      </c>
      <c r="I33" s="59">
        <f t="shared" si="1244"/>
        <v>0</v>
      </c>
      <c r="J33" s="59">
        <f t="shared" si="1245"/>
        <v>0</v>
      </c>
      <c r="K33" s="59">
        <f t="shared" si="1246"/>
        <v>75000.800000000003</v>
      </c>
      <c r="L33" s="59">
        <f t="shared" si="1247"/>
        <v>0</v>
      </c>
      <c r="M33" s="59">
        <f t="shared" si="1248"/>
        <v>0</v>
      </c>
      <c r="N33" s="59">
        <v>14284</v>
      </c>
      <c r="O33" s="59">
        <v>18112</v>
      </c>
      <c r="P33" s="59">
        <f t="shared" si="1254"/>
        <v>14577.200000000001</v>
      </c>
      <c r="Q33" s="59">
        <v>4542</v>
      </c>
      <c r="R33" s="59"/>
      <c r="S33" s="59">
        <v>11852</v>
      </c>
      <c r="T33" s="59"/>
      <c r="U33" s="59">
        <v>2108</v>
      </c>
      <c r="V33" s="59">
        <f t="shared" si="1249"/>
        <v>9057.1618271325096</v>
      </c>
      <c r="W33" s="59">
        <v>9665.8299999999999</v>
      </c>
      <c r="X33" s="62">
        <f t="shared" si="1255"/>
        <v>0.96703092776850796</v>
      </c>
      <c r="Y33" s="62">
        <f t="shared" si="1256"/>
        <v>10.4473186281471</v>
      </c>
      <c r="Z33" s="62">
        <f t="shared" si="1264"/>
        <v>10.4473186281471</v>
      </c>
      <c r="AA33" s="59">
        <f t="shared" si="1258"/>
        <v>3806.8146802175702</v>
      </c>
      <c r="AB33" s="59">
        <v>10971.8547</v>
      </c>
      <c r="AC33" s="59">
        <f t="shared" si="1259"/>
        <v>770.83746775982002</v>
      </c>
      <c r="AD33" s="59"/>
      <c r="AE33" s="59"/>
      <c r="AF33" s="59">
        <v>69</v>
      </c>
      <c r="AG33" s="59">
        <f t="shared" si="1265"/>
        <v>69</v>
      </c>
      <c r="AH33" s="59">
        <f t="shared" si="1250"/>
        <v>787.84603076054702</v>
      </c>
      <c r="AI33" s="59">
        <v>0.99413446189256405</v>
      </c>
      <c r="AJ33" s="59">
        <f t="shared" si="1266"/>
        <v>0.99413446189256405</v>
      </c>
      <c r="AK33" s="59">
        <f t="shared" si="1251"/>
        <v>459.43636738297602</v>
      </c>
      <c r="AL33" s="338"/>
      <c r="AM33" s="59"/>
      <c r="AN33" s="59">
        <v>2</v>
      </c>
      <c r="AO33" s="59">
        <f t="shared" si="1262"/>
        <v>1200</v>
      </c>
      <c r="AP33" s="59">
        <f>5000+N33/470414*13615</f>
        <v>5413.4159697628002</v>
      </c>
      <c r="AQ33" s="62">
        <v>81.359999999999999</v>
      </c>
      <c r="AR33" s="62" t="s">
        <v>442</v>
      </c>
      <c r="AS33" s="59">
        <v>600</v>
      </c>
      <c r="AT33" s="59" t="s">
        <v>441</v>
      </c>
      <c r="AU33" s="59">
        <v>800</v>
      </c>
      <c r="AV33" s="62">
        <v>15.884681241913301</v>
      </c>
      <c r="AW33" s="59">
        <f t="shared" si="1263"/>
        <v>405.82397640182899</v>
      </c>
      <c r="AX33" s="59">
        <v>2033.95236616176</v>
      </c>
      <c r="AY33" s="59"/>
      <c r="AZ33" s="59">
        <f t="shared" si="1236"/>
        <v>23301.3363194181</v>
      </c>
      <c r="BA33" s="59">
        <v>23689</v>
      </c>
      <c r="BB33" s="59">
        <f t="shared" si="1252"/>
        <v>21511.070014294299</v>
      </c>
      <c r="BC33" s="59">
        <f t="shared" si="1253"/>
        <v>1790.2663051237901</v>
      </c>
      <c r="BD33" s="43">
        <f t="shared" si="1242"/>
        <v>8.3225348805714902e-002</v>
      </c>
      <c r="BG33" s="339"/>
    </row>
    <row r="34" ht="17" customHeight="1">
      <c r="A34" s="46">
        <v>14</v>
      </c>
      <c r="B34" s="82" t="s">
        <v>80</v>
      </c>
      <c r="C34" s="46" t="s">
        <v>90</v>
      </c>
      <c r="D34" s="46">
        <v>2017</v>
      </c>
      <c r="E34" s="46" t="s">
        <v>91</v>
      </c>
      <c r="F34" s="46"/>
      <c r="G34" s="73">
        <v>122405</v>
      </c>
      <c r="H34" s="59">
        <f t="shared" si="1243"/>
        <v>85683.5</v>
      </c>
      <c r="I34" s="59">
        <f t="shared" si="1244"/>
        <v>0</v>
      </c>
      <c r="J34" s="59">
        <f t="shared" si="1245"/>
        <v>85683.5</v>
      </c>
      <c r="K34" s="59">
        <f t="shared" si="1246"/>
        <v>0</v>
      </c>
      <c r="L34" s="59">
        <f t="shared" si="1247"/>
        <v>0</v>
      </c>
      <c r="M34" s="59">
        <f t="shared" si="1248"/>
        <v>0</v>
      </c>
      <c r="N34" s="59">
        <v>6832</v>
      </c>
      <c r="O34" s="59">
        <v>2841</v>
      </c>
      <c r="P34" s="59">
        <f t="shared" si="1254"/>
        <v>0</v>
      </c>
      <c r="Q34" s="59"/>
      <c r="R34" s="59"/>
      <c r="S34" s="59"/>
      <c r="T34" s="59"/>
      <c r="U34" s="59">
        <v>718</v>
      </c>
      <c r="V34" s="59">
        <f t="shared" si="1249"/>
        <v>4136.6719520326096</v>
      </c>
      <c r="W34" s="59">
        <v>12393.389999999999</v>
      </c>
      <c r="X34" s="62">
        <f t="shared" si="1255"/>
        <v>0.52689034406860102</v>
      </c>
      <c r="Y34" s="62">
        <f t="shared" si="1256"/>
        <v>6.8093727396393797</v>
      </c>
      <c r="Z34" s="62">
        <f t="shared" si="1264"/>
        <v>6.8093727396393797</v>
      </c>
      <c r="AA34" s="59">
        <f t="shared" si="1258"/>
        <v>2481.2127428078602</v>
      </c>
      <c r="AB34" s="59">
        <v>15602.225</v>
      </c>
      <c r="AC34" s="59">
        <f t="shared" si="1259"/>
        <v>1096.14827568022</v>
      </c>
      <c r="AD34" s="59"/>
      <c r="AE34" s="59"/>
      <c r="AF34" s="59">
        <v>37</v>
      </c>
      <c r="AG34" s="59">
        <f t="shared" si="1265"/>
        <v>37</v>
      </c>
      <c r="AH34" s="59">
        <f t="shared" si="1250"/>
        <v>422.46816142232302</v>
      </c>
      <c r="AI34" s="59">
        <v>1</v>
      </c>
      <c r="AJ34" s="59">
        <f t="shared" si="1266"/>
        <v>1</v>
      </c>
      <c r="AK34" s="59">
        <f t="shared" si="1251"/>
        <v>462.147108861243</v>
      </c>
      <c r="AL34" s="338"/>
      <c r="AM34" s="59"/>
      <c r="AN34" s="59">
        <v>2</v>
      </c>
      <c r="AO34" s="59">
        <f t="shared" si="1262"/>
        <v>1200</v>
      </c>
      <c r="AP34" s="59"/>
      <c r="AQ34" s="62">
        <v>84.700000000000003</v>
      </c>
      <c r="AR34" s="62" t="s">
        <v>442</v>
      </c>
      <c r="AS34" s="59">
        <v>600</v>
      </c>
      <c r="AT34" s="59" t="s">
        <v>441</v>
      </c>
      <c r="AU34" s="59">
        <v>800</v>
      </c>
      <c r="AV34" s="62">
        <v>5.91006206084597</v>
      </c>
      <c r="AW34" s="59">
        <f t="shared" si="1263"/>
        <v>150.991061752348</v>
      </c>
      <c r="AX34" s="59">
        <v>0.32490861193963799</v>
      </c>
      <c r="AY34" s="59"/>
      <c r="AZ34" s="59">
        <f t="shared" si="1236"/>
        <v>11349.639302556599</v>
      </c>
      <c r="BA34" s="59">
        <v>14721</v>
      </c>
      <c r="BB34" s="59">
        <f t="shared" si="1252"/>
        <v>13367.574050421101</v>
      </c>
      <c r="BC34" s="59">
        <f t="shared" si="1253"/>
        <v>-2017.93474786451</v>
      </c>
      <c r="BD34" s="43">
        <f t="shared" si="1242"/>
        <v>-0.15095743926707</v>
      </c>
    </row>
    <row r="35" s="5" customFormat="1" ht="17" customHeight="1">
      <c r="A35" s="65"/>
      <c r="B35" s="66" t="s">
        <v>82</v>
      </c>
      <c r="C35" s="67">
        <v>1</v>
      </c>
      <c r="D35" s="67"/>
      <c r="E35" s="67"/>
      <c r="F35" s="68"/>
      <c r="G35" s="69">
        <f t="shared" ref="G35:P35" si="1267">G36+G37</f>
        <v>1520677</v>
      </c>
      <c r="H35" s="69">
        <f t="shared" si="1267"/>
        <v>1399657.5</v>
      </c>
      <c r="I35" s="69">
        <f t="shared" si="1267"/>
        <v>6786.6000000000004</v>
      </c>
      <c r="J35" s="69">
        <f t="shared" si="1267"/>
        <v>0</v>
      </c>
      <c r="K35" s="69">
        <f t="shared" si="1267"/>
        <v>76867.199999999997</v>
      </c>
      <c r="L35" s="69">
        <f t="shared" si="1267"/>
        <v>875504.69999999995</v>
      </c>
      <c r="M35" s="69">
        <f t="shared" si="1267"/>
        <v>440499</v>
      </c>
      <c r="N35" s="69">
        <f t="shared" si="1267"/>
        <v>228865</v>
      </c>
      <c r="O35" s="69">
        <f t="shared" si="1267"/>
        <v>306956</v>
      </c>
      <c r="P35" s="69">
        <f t="shared" si="1267"/>
        <v>224471.45000000001</v>
      </c>
      <c r="Q35" s="59">
        <v>18090</v>
      </c>
      <c r="R35" s="69">
        <f t="shared" ref="R35:V35" si="1268">R36+R37</f>
        <v>29259</v>
      </c>
      <c r="S35" s="69">
        <f t="shared" si="1268"/>
        <v>106554</v>
      </c>
      <c r="T35" s="69">
        <f t="shared" si="1268"/>
        <v>66925</v>
      </c>
      <c r="U35" s="69">
        <f t="shared" si="1268"/>
        <v>49660</v>
      </c>
      <c r="V35" s="69">
        <f t="shared" si="1268"/>
        <v>152474.187928325</v>
      </c>
      <c r="W35" s="69"/>
      <c r="X35" s="69">
        <f t="shared" ref="X35:AM35" si="1269">X36+X37</f>
        <v>9.5793026325556507</v>
      </c>
      <c r="Y35" s="69">
        <f t="shared" si="1269"/>
        <v>151.31705237372199</v>
      </c>
      <c r="Z35" s="69">
        <f t="shared" si="1269"/>
        <v>150.52321043756501</v>
      </c>
      <c r="AA35" s="69">
        <f t="shared" si="1269"/>
        <v>54847.945927808898</v>
      </c>
      <c r="AB35" s="69">
        <f t="shared" si="1269"/>
        <v>164212.370432</v>
      </c>
      <c r="AC35" s="69">
        <f t="shared" si="1269"/>
        <v>11536.8869949253</v>
      </c>
      <c r="AD35" s="69">
        <f t="shared" si="1269"/>
        <v>1</v>
      </c>
      <c r="AE35" s="69">
        <f t="shared" si="1269"/>
        <v>0</v>
      </c>
      <c r="AF35" s="69">
        <f t="shared" si="1269"/>
        <v>730</v>
      </c>
      <c r="AG35" s="69">
        <f t="shared" si="1269"/>
        <v>721.5</v>
      </c>
      <c r="AH35" s="69">
        <f t="shared" si="1269"/>
        <v>8238.1291477352897</v>
      </c>
      <c r="AI35" s="69">
        <f t="shared" si="1269"/>
        <v>9.9106427753936295</v>
      </c>
      <c r="AJ35" s="69">
        <f t="shared" si="1269"/>
        <v>9.4106427753936295</v>
      </c>
      <c r="AK35" s="69">
        <f t="shared" si="1269"/>
        <v>4349.1013511741103</v>
      </c>
      <c r="AL35" s="69">
        <f t="shared" si="1269"/>
        <v>0</v>
      </c>
      <c r="AM35" s="69">
        <f t="shared" si="1269"/>
        <v>1100</v>
      </c>
      <c r="AN35" s="69">
        <v>32</v>
      </c>
      <c r="AO35" s="69">
        <f t="shared" ref="AO35:AR35" si="1270">AO36+AO37</f>
        <v>19200</v>
      </c>
      <c r="AP35" s="69">
        <f t="shared" si="1270"/>
        <v>64780.276004157597</v>
      </c>
      <c r="AQ35" s="71"/>
      <c r="AR35" s="69">
        <f t="shared" si="1270"/>
        <v>0</v>
      </c>
      <c r="AS35" s="69">
        <v>4400</v>
      </c>
      <c r="AT35" s="69"/>
      <c r="AU35" s="69">
        <v>6700</v>
      </c>
      <c r="AV35" s="71">
        <f t="shared" ref="AV35:AZ35" si="1271">AV36+AV37</f>
        <v>106.656890805103</v>
      </c>
      <c r="AW35" s="71">
        <v>2724.88461543526</v>
      </c>
      <c r="AX35" s="69">
        <f t="shared" si="1271"/>
        <v>14571.194210851199</v>
      </c>
      <c r="AY35" s="71">
        <f t="shared" si="1271"/>
        <v>0</v>
      </c>
      <c r="AZ35" s="71">
        <f t="shared" si="1271"/>
        <v>330351.41196956101</v>
      </c>
      <c r="BA35" s="69">
        <v>330075</v>
      </c>
      <c r="BB35" s="69">
        <f>BB36+BB37</f>
        <v>299728.41550796502</v>
      </c>
      <c r="BC35" s="69">
        <f>BC36+BC37</f>
        <v>30622.996461596598</v>
      </c>
      <c r="BD35" s="336">
        <f t="shared" si="1242"/>
        <v>0.10216914672470501</v>
      </c>
    </row>
    <row r="36" s="5" customFormat="1" ht="17" customHeight="1">
      <c r="A36" s="44"/>
      <c r="B36" s="72" t="s">
        <v>83</v>
      </c>
      <c r="C36" s="46">
        <v>2</v>
      </c>
      <c r="D36" s="46"/>
      <c r="E36" s="46"/>
      <c r="F36" s="46"/>
      <c r="G36" s="73"/>
      <c r="H36" s="59">
        <f t="shared" ref="H36:H48" si="1272">SUM(I36:M36)</f>
        <v>0</v>
      </c>
      <c r="I36" s="59">
        <f t="shared" ref="I36:I48" si="1273">IF(D36="",G36*0.6,0)</f>
        <v>0</v>
      </c>
      <c r="J36" s="59">
        <f t="shared" ref="J36:J48" si="1274">IF(D36=2017,G36*0.7,0)</f>
        <v>0</v>
      </c>
      <c r="K36" s="59">
        <f t="shared" ref="K36:K48" si="1275">IF(D36=2018,G36*0.8,0)</f>
        <v>0</v>
      </c>
      <c r="L36" s="59">
        <f t="shared" ref="L36:L48" si="1276">IF(D36=2019,G36*0.9,0)</f>
        <v>0</v>
      </c>
      <c r="M36" s="59">
        <f t="shared" ref="M36:M48" si="1277">IF(D36=2020,G36*1,0)</f>
        <v>0</v>
      </c>
      <c r="N36" s="59"/>
      <c r="O36" s="59"/>
      <c r="P36" s="59">
        <f>L36*0.4+M36*0.6+N36*0.8+O36*1</f>
        <v>0</v>
      </c>
      <c r="Q36" s="59"/>
      <c r="R36" s="59"/>
      <c r="S36" s="59"/>
      <c r="T36" s="59"/>
      <c r="U36" s="59"/>
      <c r="V36" s="59">
        <f>H36/$H$9*134866+N36/$N$9*202299+P36/$P$9*100000+U36/$U$9*34867</f>
        <v>0</v>
      </c>
      <c r="W36" s="59"/>
      <c r="X36" s="62"/>
      <c r="Y36" s="62"/>
      <c r="Z36" s="62"/>
      <c r="AA36" s="59"/>
      <c r="AB36" s="59"/>
      <c r="AC36" s="59"/>
      <c r="AD36" s="59"/>
      <c r="AE36" s="59"/>
      <c r="AF36" s="59"/>
      <c r="AG36" s="59">
        <f t="shared" ref="AG36:AG47" si="1278">AF36</f>
        <v>0</v>
      </c>
      <c r="AH36" s="59">
        <f t="shared" ref="AH36:AH48" si="1279">AG36/$AG$9*40459.89</f>
        <v>0</v>
      </c>
      <c r="AI36" s="59"/>
      <c r="AJ36" s="59">
        <f t="shared" ref="AJ36:AJ47" si="1280">AI36</f>
        <v>0</v>
      </c>
      <c r="AK36" s="59">
        <f t="shared" ref="AK36:AK48" si="1281">AJ36/$AJ$9*40459.89</f>
        <v>0</v>
      </c>
      <c r="AL36" s="59"/>
      <c r="AM36" s="59"/>
      <c r="AN36" s="59"/>
      <c r="AO36" s="59"/>
      <c r="AP36" s="59"/>
      <c r="AQ36" s="62"/>
      <c r="AR36" s="62"/>
      <c r="AS36" s="59"/>
      <c r="AT36" s="59"/>
      <c r="AU36" s="59"/>
      <c r="AV36" s="62"/>
      <c r="AW36" s="59">
        <v>0</v>
      </c>
      <c r="AX36" s="59"/>
      <c r="AY36" s="59"/>
      <c r="AZ36" s="59">
        <f t="shared" ref="AZ36:AZ48" si="1282">V36+AA36+AC36+AE36+AH36+AK36+AM36+AO36+AP36+AS36+AU36+AW36+AY36</f>
        <v>0</v>
      </c>
      <c r="BA36" s="73"/>
      <c r="BB36" s="170"/>
      <c r="BC36" s="50"/>
      <c r="BD36" s="43"/>
    </row>
    <row r="37" s="5" customFormat="1" ht="17" customHeight="1">
      <c r="A37" s="75"/>
      <c r="B37" s="76" t="s">
        <v>76</v>
      </c>
      <c r="C37" s="77">
        <v>3</v>
      </c>
      <c r="D37" s="77"/>
      <c r="E37" s="77"/>
      <c r="F37" s="78"/>
      <c r="G37" s="79">
        <f t="shared" ref="G37:P37" si="1283">SUM(G38:G48)</f>
        <v>1520677</v>
      </c>
      <c r="H37" s="79">
        <f t="shared" si="1283"/>
        <v>1399657.5</v>
      </c>
      <c r="I37" s="79">
        <f t="shared" si="1283"/>
        <v>6786.6000000000004</v>
      </c>
      <c r="J37" s="79">
        <f t="shared" si="1283"/>
        <v>0</v>
      </c>
      <c r="K37" s="79">
        <f t="shared" si="1283"/>
        <v>76867.199999999997</v>
      </c>
      <c r="L37" s="79">
        <f t="shared" si="1283"/>
        <v>875504.69999999995</v>
      </c>
      <c r="M37" s="79">
        <f t="shared" si="1283"/>
        <v>440499</v>
      </c>
      <c r="N37" s="79">
        <f t="shared" si="1283"/>
        <v>228865</v>
      </c>
      <c r="O37" s="79">
        <f t="shared" si="1283"/>
        <v>306956</v>
      </c>
      <c r="P37" s="79">
        <f t="shared" si="1283"/>
        <v>224471.45000000001</v>
      </c>
      <c r="Q37" s="59">
        <v>18090</v>
      </c>
      <c r="R37" s="79">
        <f t="shared" ref="R37:V37" si="1284">SUM(R38:R48)</f>
        <v>29259</v>
      </c>
      <c r="S37" s="79">
        <f t="shared" si="1284"/>
        <v>106554</v>
      </c>
      <c r="T37" s="79">
        <f t="shared" si="1284"/>
        <v>66925</v>
      </c>
      <c r="U37" s="79">
        <f t="shared" si="1284"/>
        <v>49660</v>
      </c>
      <c r="V37" s="79">
        <f t="shared" si="1284"/>
        <v>152474.187928325</v>
      </c>
      <c r="W37" s="79"/>
      <c r="X37" s="79">
        <f t="shared" ref="X37:AM37" si="1285">SUM(X38:X48)</f>
        <v>9.5793026325556507</v>
      </c>
      <c r="Y37" s="79">
        <f t="shared" si="1285"/>
        <v>151.31705237372199</v>
      </c>
      <c r="Z37" s="79">
        <f t="shared" si="1285"/>
        <v>150.52321043756501</v>
      </c>
      <c r="AA37" s="79">
        <f t="shared" si="1285"/>
        <v>54847.945927808898</v>
      </c>
      <c r="AB37" s="79">
        <f t="shared" si="1285"/>
        <v>164212.370432</v>
      </c>
      <c r="AC37" s="79">
        <f t="shared" si="1285"/>
        <v>11536.8869949253</v>
      </c>
      <c r="AD37" s="79">
        <f t="shared" si="1285"/>
        <v>1</v>
      </c>
      <c r="AE37" s="79">
        <f t="shared" si="1285"/>
        <v>0</v>
      </c>
      <c r="AF37" s="79">
        <f t="shared" si="1285"/>
        <v>730</v>
      </c>
      <c r="AG37" s="79">
        <f t="shared" si="1285"/>
        <v>721.5</v>
      </c>
      <c r="AH37" s="79">
        <f t="shared" si="1285"/>
        <v>8238.1291477352897</v>
      </c>
      <c r="AI37" s="79">
        <f t="shared" si="1285"/>
        <v>9.9106427753936295</v>
      </c>
      <c r="AJ37" s="79">
        <f t="shared" si="1285"/>
        <v>9.4106427753936295</v>
      </c>
      <c r="AK37" s="79">
        <f t="shared" si="1285"/>
        <v>4349.1013511741103</v>
      </c>
      <c r="AL37" s="79">
        <f t="shared" si="1285"/>
        <v>0</v>
      </c>
      <c r="AM37" s="79">
        <f t="shared" si="1285"/>
        <v>1100</v>
      </c>
      <c r="AN37" s="79">
        <v>32</v>
      </c>
      <c r="AO37" s="79">
        <f t="shared" ref="AO37:AR37" si="1286">SUM(AO38:AO48)</f>
        <v>19200</v>
      </c>
      <c r="AP37" s="79">
        <f t="shared" si="1286"/>
        <v>64780.276004157597</v>
      </c>
      <c r="AQ37" s="81"/>
      <c r="AR37" s="79">
        <f t="shared" si="1286"/>
        <v>0</v>
      </c>
      <c r="AS37" s="79">
        <v>4400</v>
      </c>
      <c r="AT37" s="79"/>
      <c r="AU37" s="79">
        <v>6700</v>
      </c>
      <c r="AV37" s="81">
        <f t="shared" ref="AV37:AZ37" si="1287">SUM(AV38:AV48)</f>
        <v>106.656890805103</v>
      </c>
      <c r="AW37" s="81">
        <v>2724.88461543526</v>
      </c>
      <c r="AX37" s="79">
        <f t="shared" si="1287"/>
        <v>14571.194210851199</v>
      </c>
      <c r="AY37" s="81">
        <f t="shared" si="1287"/>
        <v>0</v>
      </c>
      <c r="AZ37" s="81">
        <f t="shared" si="1287"/>
        <v>330351.41196956101</v>
      </c>
      <c r="BA37" s="79">
        <v>330075</v>
      </c>
      <c r="BB37" s="79">
        <f>SUM(BB38:BB48)</f>
        <v>299728.41550796502</v>
      </c>
      <c r="BC37" s="79">
        <f>SUM(BC38:BC48)</f>
        <v>30622.996461596598</v>
      </c>
      <c r="BD37" s="337">
        <f t="shared" si="1242"/>
        <v>0.10216914672470501</v>
      </c>
    </row>
    <row r="38" ht="17" customHeight="1">
      <c r="A38" s="46">
        <v>15</v>
      </c>
      <c r="B38" s="82" t="s">
        <v>84</v>
      </c>
      <c r="C38" s="46" t="s">
        <v>93</v>
      </c>
      <c r="D38" s="46">
        <v>2019</v>
      </c>
      <c r="E38" s="46" t="s">
        <v>94</v>
      </c>
      <c r="F38" s="46"/>
      <c r="G38" s="73">
        <f>179608+30074</f>
        <v>209682</v>
      </c>
      <c r="H38" s="59">
        <f t="shared" si="1272"/>
        <v>188713.79999999999</v>
      </c>
      <c r="I38" s="59">
        <f t="shared" si="1273"/>
        <v>0</v>
      </c>
      <c r="J38" s="59">
        <f t="shared" si="1274"/>
        <v>0</v>
      </c>
      <c r="K38" s="59">
        <f t="shared" si="1275"/>
        <v>0</v>
      </c>
      <c r="L38" s="59">
        <f t="shared" si="1276"/>
        <v>188713.79999999999</v>
      </c>
      <c r="M38" s="59">
        <f t="shared" si="1277"/>
        <v>0</v>
      </c>
      <c r="N38" s="59">
        <v>19743</v>
      </c>
      <c r="O38" s="59">
        <v>34418</v>
      </c>
      <c r="P38" s="59">
        <f t="shared" ref="P38:P48" si="1288">Q38*0.6+R38*0.8+S38*1+T38*1.25</f>
        <v>66391.300000000003</v>
      </c>
      <c r="Q38" s="59">
        <v>5026</v>
      </c>
      <c r="R38" s="59">
        <v>3309</v>
      </c>
      <c r="S38" s="59">
        <f>52956-T38</f>
        <v>21866</v>
      </c>
      <c r="T38" s="59">
        <v>31090</v>
      </c>
      <c r="U38" s="59">
        <v>7208</v>
      </c>
      <c r="V38" s="59">
        <f t="shared" ref="V38:V48" si="1289">H38/$H$9*(134866+26973)+N38/$N$9*202299+P38/$P$9*100000+U38/$U$9*34867</f>
        <v>26135.650528668801</v>
      </c>
      <c r="W38" s="59">
        <v>10059.08</v>
      </c>
      <c r="X38" s="62">
        <f t="shared" ref="X38:X48" si="1290">($W$64-W38)/($W$64-$W$44)</f>
        <v>0.90357300767142901</v>
      </c>
      <c r="Y38" s="62">
        <f t="shared" ref="Y38:Y48" si="1291">(G38+N38)*X38/10000</f>
        <v>20.730223728501802</v>
      </c>
      <c r="Z38" s="62">
        <f t="shared" ref="Z38:Z47" si="1292">Y38*1</f>
        <v>20.730223728501802</v>
      </c>
      <c r="AA38" s="59">
        <f t="shared" ref="AA38:AA48" si="1293">Z38/$Z$9*(1348663*0.1+30000)</f>
        <v>7553.7200331231297</v>
      </c>
      <c r="AB38" s="59">
        <v>10623.15</v>
      </c>
      <c r="AC38" s="59">
        <f t="shared" ref="AC38:AC48" si="1294">(AB38/$AB$9*1348663*0.037)</f>
        <v>746.33890709769696</v>
      </c>
      <c r="AD38" s="59"/>
      <c r="AE38" s="59"/>
      <c r="AF38" s="59">
        <v>135</v>
      </c>
      <c r="AG38" s="59">
        <f t="shared" si="1278"/>
        <v>135</v>
      </c>
      <c r="AH38" s="59">
        <f t="shared" si="1279"/>
        <v>1541.4378862706401</v>
      </c>
      <c r="AI38" s="59">
        <v>0.86429420401314405</v>
      </c>
      <c r="AJ38" s="59">
        <f t="shared" si="1280"/>
        <v>0.86429420401314405</v>
      </c>
      <c r="AK38" s="59">
        <f t="shared" si="1281"/>
        <v>399.43106759020299</v>
      </c>
      <c r="AL38" s="338" t="s">
        <v>1544</v>
      </c>
      <c r="AM38" s="59">
        <v>100</v>
      </c>
      <c r="AN38" s="59">
        <v>3</v>
      </c>
      <c r="AO38" s="59">
        <f t="shared" ref="AO38:AO48" si="1295">AN38*600</f>
        <v>1800</v>
      </c>
      <c r="AP38" s="59">
        <f t="shared" ref="AP38:AP43" si="1296">5000+N38/470414*13615</f>
        <v>5571.4135740007696</v>
      </c>
      <c r="AQ38" s="62">
        <v>90.079999999999998</v>
      </c>
      <c r="AR38" s="62" t="s">
        <v>444</v>
      </c>
      <c r="AS38" s="59">
        <v>1000</v>
      </c>
      <c r="AT38" s="59" t="s">
        <v>443</v>
      </c>
      <c r="AU38" s="59"/>
      <c r="AV38" s="62">
        <v>6.8672796612512297</v>
      </c>
      <c r="AW38" s="59">
        <f t="shared" si="1263"/>
        <v>175.44618596682</v>
      </c>
      <c r="AX38" s="59">
        <v>2247.5043673571299</v>
      </c>
      <c r="AY38" s="59"/>
      <c r="AZ38" s="59">
        <f t="shared" si="1282"/>
        <v>45023.438182717997</v>
      </c>
      <c r="BA38" s="59">
        <v>39085</v>
      </c>
      <c r="BB38" s="59">
        <f t="shared" ref="BB38:BB48" si="1297">BA38/$BA$9*1348663</f>
        <v>35491.585609721398</v>
      </c>
      <c r="BC38" s="59">
        <f t="shared" ref="BC38:BC48" si="1298">AZ38-BB38</f>
        <v>9531.8525729965804</v>
      </c>
      <c r="BD38" s="43">
        <f t="shared" si="1242"/>
        <v>0.268566546386863</v>
      </c>
      <c r="BF38" s="84"/>
      <c r="BG38" s="339"/>
    </row>
    <row r="39" ht="17" customHeight="1">
      <c r="A39" s="46">
        <v>16</v>
      </c>
      <c r="B39" s="82" t="s">
        <v>85</v>
      </c>
      <c r="C39" s="46" t="s">
        <v>93</v>
      </c>
      <c r="D39" s="46">
        <v>2019</v>
      </c>
      <c r="E39" s="46" t="s">
        <v>94</v>
      </c>
      <c r="F39" s="46"/>
      <c r="G39" s="73">
        <f>99652+21811</f>
        <v>121463</v>
      </c>
      <c r="H39" s="59">
        <f t="shared" si="1272"/>
        <v>109316.7</v>
      </c>
      <c r="I39" s="59">
        <f t="shared" si="1273"/>
        <v>0</v>
      </c>
      <c r="J39" s="59">
        <f t="shared" si="1274"/>
        <v>0</v>
      </c>
      <c r="K39" s="59">
        <f t="shared" si="1275"/>
        <v>0</v>
      </c>
      <c r="L39" s="59">
        <f t="shared" si="1276"/>
        <v>109316.7</v>
      </c>
      <c r="M39" s="59">
        <f t="shared" si="1277"/>
        <v>0</v>
      </c>
      <c r="N39" s="59">
        <v>14312</v>
      </c>
      <c r="O39" s="59">
        <v>19688</v>
      </c>
      <c r="P39" s="59">
        <f t="shared" si="1288"/>
        <v>44793.75</v>
      </c>
      <c r="Q39" s="59">
        <v>0</v>
      </c>
      <c r="R39" s="59"/>
      <c r="S39" s="59">
        <f>35835-T39</f>
        <v>0</v>
      </c>
      <c r="T39" s="59">
        <v>35835</v>
      </c>
      <c r="U39" s="59">
        <v>3517</v>
      </c>
      <c r="V39" s="59">
        <f t="shared" si="1289"/>
        <v>17029.1032583497</v>
      </c>
      <c r="W39" s="59">
        <v>9634.3199999999997</v>
      </c>
      <c r="X39" s="62">
        <f t="shared" si="1290"/>
        <v>0.97211562977043797</v>
      </c>
      <c r="Y39" s="62">
        <f t="shared" si="1291"/>
        <v>13.198899963208101</v>
      </c>
      <c r="Z39" s="62">
        <f t="shared" si="1292"/>
        <v>13.198899963208101</v>
      </c>
      <c r="AA39" s="59">
        <f t="shared" si="1293"/>
        <v>4809.4413438575602</v>
      </c>
      <c r="AB39" s="59">
        <v>12573.790000000001</v>
      </c>
      <c r="AC39" s="59">
        <f t="shared" si="1294"/>
        <v>883.38286540959598</v>
      </c>
      <c r="AD39" s="59"/>
      <c r="AE39" s="59"/>
      <c r="AF39" s="59">
        <v>15</v>
      </c>
      <c r="AG39" s="59">
        <f t="shared" si="1278"/>
        <v>15</v>
      </c>
      <c r="AH39" s="59">
        <f t="shared" si="1279"/>
        <v>171.27087625229299</v>
      </c>
      <c r="AI39" s="59">
        <v>0.97603414313854198</v>
      </c>
      <c r="AJ39" s="59">
        <f t="shared" si="1280"/>
        <v>0.97603414313854198</v>
      </c>
      <c r="AK39" s="59">
        <f t="shared" si="1281"/>
        <v>451.07135740133702</v>
      </c>
      <c r="AL39" s="338" t="s">
        <v>1544</v>
      </c>
      <c r="AM39" s="59">
        <v>100</v>
      </c>
      <c r="AN39" s="59">
        <v>3</v>
      </c>
      <c r="AO39" s="59">
        <f t="shared" si="1295"/>
        <v>1800</v>
      </c>
      <c r="AP39" s="59">
        <f t="shared" si="1296"/>
        <v>5414.2263623106501</v>
      </c>
      <c r="AQ39" s="62">
        <v>74.450000000000003</v>
      </c>
      <c r="AR39" s="62" t="s">
        <v>440</v>
      </c>
      <c r="AS39" s="59"/>
      <c r="AT39" s="59" t="s">
        <v>441</v>
      </c>
      <c r="AU39" s="59">
        <v>800</v>
      </c>
      <c r="AV39" s="62">
        <v>6.3533695064810596</v>
      </c>
      <c r="AW39" s="59">
        <f t="shared" si="1263"/>
        <v>162.316740097185</v>
      </c>
      <c r="AX39" s="59">
        <v>68.883703357958893</v>
      </c>
      <c r="AY39" s="59"/>
      <c r="AZ39" s="59">
        <f t="shared" si="1282"/>
        <v>31620.812803678298</v>
      </c>
      <c r="BA39" s="59">
        <v>26614</v>
      </c>
      <c r="BB39" s="59">
        <f t="shared" si="1297"/>
        <v>24167.150042653899</v>
      </c>
      <c r="BC39" s="59">
        <f t="shared" si="1298"/>
        <v>7453.6627610244504</v>
      </c>
      <c r="BD39" s="43">
        <f t="shared" si="1242"/>
        <v>0.30842125562464301</v>
      </c>
      <c r="BF39" s="84"/>
      <c r="BG39" s="339"/>
    </row>
    <row r="40" ht="17" customHeight="1">
      <c r="A40" s="46">
        <v>17</v>
      </c>
      <c r="B40" s="82" t="s">
        <v>86</v>
      </c>
      <c r="C40" s="46" t="s">
        <v>93</v>
      </c>
      <c r="D40" s="46">
        <v>2019</v>
      </c>
      <c r="E40" s="46" t="s">
        <v>94</v>
      </c>
      <c r="F40" s="46"/>
      <c r="G40" s="73">
        <f>143330-13821</f>
        <v>129509</v>
      </c>
      <c r="H40" s="59">
        <f t="shared" si="1272"/>
        <v>116558.10000000001</v>
      </c>
      <c r="I40" s="59">
        <f t="shared" si="1273"/>
        <v>0</v>
      </c>
      <c r="J40" s="59">
        <f t="shared" si="1274"/>
        <v>0</v>
      </c>
      <c r="K40" s="59">
        <f t="shared" si="1275"/>
        <v>0</v>
      </c>
      <c r="L40" s="59">
        <f t="shared" si="1276"/>
        <v>116558.10000000001</v>
      </c>
      <c r="M40" s="59">
        <f t="shared" si="1277"/>
        <v>0</v>
      </c>
      <c r="N40" s="59">
        <v>21282</v>
      </c>
      <c r="O40" s="59">
        <v>26169</v>
      </c>
      <c r="P40" s="59">
        <f t="shared" si="1288"/>
        <v>588.60000000000002</v>
      </c>
      <c r="Q40" s="59">
        <v>981</v>
      </c>
      <c r="R40" s="59"/>
      <c r="S40" s="59"/>
      <c r="T40" s="59"/>
      <c r="U40" s="59">
        <v>3894</v>
      </c>
      <c r="V40" s="59">
        <f t="shared" si="1289"/>
        <v>9150.8284533726601</v>
      </c>
      <c r="W40" s="59">
        <v>9470.0300000000007</v>
      </c>
      <c r="X40" s="62">
        <f t="shared" si="1290"/>
        <v>0.99862675931334699</v>
      </c>
      <c r="Y40" s="62">
        <f t="shared" si="1291"/>
        <v>15.0583927663619</v>
      </c>
      <c r="Z40" s="62">
        <f t="shared" si="1292"/>
        <v>15.0583927663619</v>
      </c>
      <c r="AA40" s="59">
        <f t="shared" si="1293"/>
        <v>5487.0070191049099</v>
      </c>
      <c r="AB40" s="59">
        <v>11513.559999999999</v>
      </c>
      <c r="AC40" s="59">
        <f t="shared" si="1294"/>
        <v>808.89545824014101</v>
      </c>
      <c r="AD40" s="59"/>
      <c r="AE40" s="59"/>
      <c r="AF40" s="59">
        <v>86</v>
      </c>
      <c r="AG40" s="59">
        <f t="shared" si="1278"/>
        <v>86</v>
      </c>
      <c r="AH40" s="59">
        <f t="shared" si="1279"/>
        <v>981.95302384647903</v>
      </c>
      <c r="AI40" s="59">
        <v>0.85737385836202995</v>
      </c>
      <c r="AJ40" s="59">
        <f t="shared" si="1280"/>
        <v>0.85737385836202995</v>
      </c>
      <c r="AK40" s="59">
        <f t="shared" si="1281"/>
        <v>396.23284985522099</v>
      </c>
      <c r="AL40" s="338" t="s">
        <v>1544</v>
      </c>
      <c r="AM40" s="59">
        <v>100</v>
      </c>
      <c r="AN40" s="59">
        <v>3</v>
      </c>
      <c r="AO40" s="59">
        <f t="shared" si="1295"/>
        <v>1800</v>
      </c>
      <c r="AP40" s="59">
        <f t="shared" si="1296"/>
        <v>5615.9562215410297</v>
      </c>
      <c r="AQ40" s="62">
        <v>85.890000000000001</v>
      </c>
      <c r="AR40" s="62" t="s">
        <v>442</v>
      </c>
      <c r="AS40" s="59">
        <v>600</v>
      </c>
      <c r="AT40" s="59" t="s">
        <v>441</v>
      </c>
      <c r="AU40" s="59">
        <v>800</v>
      </c>
      <c r="AV40" s="62">
        <v>13.931062449009</v>
      </c>
      <c r="AW40" s="59">
        <f t="shared" si="1263"/>
        <v>355.91266028313902</v>
      </c>
      <c r="AX40" s="59">
        <v>68.990295009860503</v>
      </c>
      <c r="AY40" s="59"/>
      <c r="AZ40" s="59">
        <f t="shared" si="1282"/>
        <v>26096.785686243598</v>
      </c>
      <c r="BA40" s="59">
        <v>27547</v>
      </c>
      <c r="BB40" s="59">
        <f t="shared" si="1297"/>
        <v>25014.3714670845</v>
      </c>
      <c r="BC40" s="59">
        <f t="shared" si="1298"/>
        <v>1082.4142191591</v>
      </c>
      <c r="BD40" s="43">
        <f t="shared" si="1242"/>
        <v>4.3271693657520399e-002</v>
      </c>
      <c r="BF40" s="84"/>
      <c r="BG40" s="339"/>
    </row>
    <row r="41" ht="17" customHeight="1">
      <c r="A41" s="46">
        <v>18</v>
      </c>
      <c r="B41" s="82" t="s">
        <v>87</v>
      </c>
      <c r="C41" s="46" t="s">
        <v>90</v>
      </c>
      <c r="D41" s="46">
        <v>2019</v>
      </c>
      <c r="E41" s="46" t="s">
        <v>94</v>
      </c>
      <c r="F41" s="46"/>
      <c r="G41" s="73">
        <f>93810</f>
        <v>93810</v>
      </c>
      <c r="H41" s="59">
        <f t="shared" si="1272"/>
        <v>84429</v>
      </c>
      <c r="I41" s="59">
        <f t="shared" si="1273"/>
        <v>0</v>
      </c>
      <c r="J41" s="59">
        <f t="shared" si="1274"/>
        <v>0</v>
      </c>
      <c r="K41" s="59">
        <f t="shared" si="1275"/>
        <v>0</v>
      </c>
      <c r="L41" s="59">
        <f t="shared" si="1276"/>
        <v>84429</v>
      </c>
      <c r="M41" s="59">
        <f t="shared" si="1277"/>
        <v>0</v>
      </c>
      <c r="N41" s="59">
        <v>12277</v>
      </c>
      <c r="O41" s="59">
        <v>28774</v>
      </c>
      <c r="P41" s="59">
        <f t="shared" si="1288"/>
        <v>18762.200000000001</v>
      </c>
      <c r="Q41" s="59">
        <v>3640</v>
      </c>
      <c r="R41" s="59">
        <v>3084</v>
      </c>
      <c r="S41" s="59">
        <v>14111</v>
      </c>
      <c r="T41" s="59"/>
      <c r="U41" s="59">
        <v>1458</v>
      </c>
      <c r="V41" s="59">
        <f t="shared" si="1289"/>
        <v>9640.2524990265301</v>
      </c>
      <c r="W41" s="59">
        <v>11420.52</v>
      </c>
      <c r="X41" s="62">
        <f t="shared" si="1290"/>
        <v>0.68388031666833404</v>
      </c>
      <c r="Y41" s="62">
        <f t="shared" si="1291"/>
        <v>7.25508111543936</v>
      </c>
      <c r="Z41" s="62">
        <f t="shared" si="1292"/>
        <v>7.25508111543936</v>
      </c>
      <c r="AA41" s="59">
        <f t="shared" si="1293"/>
        <v>2643.62084468388</v>
      </c>
      <c r="AB41" s="59">
        <v>7273.5217000000002</v>
      </c>
      <c r="AC41" s="59">
        <f t="shared" si="1294"/>
        <v>511.00777418462297</v>
      </c>
      <c r="AD41" s="59">
        <v>1</v>
      </c>
      <c r="AE41" s="59"/>
      <c r="AF41" s="59">
        <v>37</v>
      </c>
      <c r="AG41" s="59">
        <f t="shared" si="1278"/>
        <v>37</v>
      </c>
      <c r="AH41" s="59">
        <f t="shared" si="1279"/>
        <v>422.46816142232302</v>
      </c>
      <c r="AI41" s="59">
        <v>0.89843485002665102</v>
      </c>
      <c r="AJ41" s="59">
        <f t="shared" si="1280"/>
        <v>0.89843485002665102</v>
      </c>
      <c r="AK41" s="59">
        <f t="shared" si="1281"/>
        <v>415.20906844000098</v>
      </c>
      <c r="AL41" s="338" t="s">
        <v>1544</v>
      </c>
      <c r="AM41" s="59">
        <v>100</v>
      </c>
      <c r="AN41" s="59">
        <v>3</v>
      </c>
      <c r="AO41" s="59">
        <f t="shared" si="1295"/>
        <v>1800</v>
      </c>
      <c r="AP41" s="59">
        <f t="shared" si="1296"/>
        <v>5355.32818963721</v>
      </c>
      <c r="AQ41" s="62">
        <v>90.760000000000005</v>
      </c>
      <c r="AR41" s="62" t="s">
        <v>444</v>
      </c>
      <c r="AS41" s="59">
        <v>1000</v>
      </c>
      <c r="AT41" s="59" t="s">
        <v>441</v>
      </c>
      <c r="AU41" s="59">
        <v>800</v>
      </c>
      <c r="AV41" s="62">
        <v>6.3560487166458097</v>
      </c>
      <c r="AW41" s="59">
        <f t="shared" si="1263"/>
        <v>162.38518891942499</v>
      </c>
      <c r="AX41" s="59">
        <v>1903.4661566746299</v>
      </c>
      <c r="AY41" s="59"/>
      <c r="AZ41" s="59">
        <f t="shared" si="1282"/>
        <v>22850.271726314</v>
      </c>
      <c r="BA41" s="59">
        <v>22064</v>
      </c>
      <c r="BB41" s="59">
        <f t="shared" si="1297"/>
        <v>20035.469998538902</v>
      </c>
      <c r="BC41" s="59">
        <f t="shared" si="1298"/>
        <v>2814.80172777507</v>
      </c>
      <c r="BD41" s="43">
        <f t="shared" si="1242"/>
        <v>0.140490925742213</v>
      </c>
      <c r="BF41" s="84"/>
      <c r="BG41" s="339"/>
    </row>
    <row r="42" ht="17" customHeight="1">
      <c r="A42" s="46">
        <v>19</v>
      </c>
      <c r="B42" s="82" t="s">
        <v>88</v>
      </c>
      <c r="C42" s="46" t="s">
        <v>93</v>
      </c>
      <c r="D42" s="46">
        <v>2019</v>
      </c>
      <c r="E42" s="46" t="s">
        <v>94</v>
      </c>
      <c r="F42" s="46"/>
      <c r="G42" s="73">
        <f>97140-16963</f>
        <v>80177</v>
      </c>
      <c r="H42" s="59">
        <f t="shared" si="1272"/>
        <v>72159.300000000003</v>
      </c>
      <c r="I42" s="59">
        <f t="shared" si="1273"/>
        <v>0</v>
      </c>
      <c r="J42" s="59">
        <f t="shared" si="1274"/>
        <v>0</v>
      </c>
      <c r="K42" s="59">
        <f t="shared" si="1275"/>
        <v>0</v>
      </c>
      <c r="L42" s="59">
        <f t="shared" si="1276"/>
        <v>72159.300000000003</v>
      </c>
      <c r="M42" s="59">
        <f t="shared" si="1277"/>
        <v>0</v>
      </c>
      <c r="N42" s="59">
        <v>18082</v>
      </c>
      <c r="O42" s="59">
        <v>29592</v>
      </c>
      <c r="P42" s="59">
        <f t="shared" si="1288"/>
        <v>555</v>
      </c>
      <c r="Q42" s="59">
        <v>925</v>
      </c>
      <c r="R42" s="59"/>
      <c r="S42" s="59"/>
      <c r="T42" s="59"/>
      <c r="U42" s="59">
        <v>3144</v>
      </c>
      <c r="V42" s="59">
        <f t="shared" si="1289"/>
        <v>6987.2815337040602</v>
      </c>
      <c r="W42" s="59">
        <v>10218.719999999999</v>
      </c>
      <c r="X42" s="62">
        <f t="shared" si="1290"/>
        <v>0.877812238785739</v>
      </c>
      <c r="Y42" s="62">
        <f t="shared" si="1291"/>
        <v>8.6252952770847902</v>
      </c>
      <c r="Z42" s="62">
        <f t="shared" si="1292"/>
        <v>8.6252952770847902</v>
      </c>
      <c r="AA42" s="59">
        <f t="shared" si="1293"/>
        <v>3142.9021982304798</v>
      </c>
      <c r="AB42" s="59">
        <v>16047.1</v>
      </c>
      <c r="AC42" s="59">
        <f t="shared" si="1294"/>
        <v>1127.40336680622</v>
      </c>
      <c r="AD42" s="59"/>
      <c r="AE42" s="59"/>
      <c r="AF42" s="59">
        <v>104</v>
      </c>
      <c r="AG42" s="59">
        <f t="shared" si="1278"/>
        <v>104</v>
      </c>
      <c r="AH42" s="59">
        <f t="shared" si="1279"/>
        <v>1187.47807534923</v>
      </c>
      <c r="AI42" s="59">
        <v>1</v>
      </c>
      <c r="AJ42" s="59">
        <f t="shared" si="1280"/>
        <v>1</v>
      </c>
      <c r="AK42" s="59">
        <f t="shared" si="1281"/>
        <v>462.147108861243</v>
      </c>
      <c r="AL42" s="338" t="s">
        <v>1544</v>
      </c>
      <c r="AM42" s="59">
        <v>100</v>
      </c>
      <c r="AN42" s="59">
        <v>3</v>
      </c>
      <c r="AO42" s="59">
        <f t="shared" si="1295"/>
        <v>1800</v>
      </c>
      <c r="AP42" s="59">
        <f t="shared" si="1296"/>
        <v>5523.3399303592196</v>
      </c>
      <c r="AQ42" s="62">
        <v>88.120000000000005</v>
      </c>
      <c r="AR42" s="62" t="s">
        <v>442</v>
      </c>
      <c r="AS42" s="59">
        <v>600</v>
      </c>
      <c r="AT42" s="59" t="s">
        <v>443</v>
      </c>
      <c r="AU42" s="59"/>
      <c r="AV42" s="62">
        <v>6.1111474036056199</v>
      </c>
      <c r="AW42" s="59">
        <f t="shared" si="1263"/>
        <v>156.12841718001201</v>
      </c>
      <c r="AX42" s="59">
        <v>2537.5425597848798</v>
      </c>
      <c r="AY42" s="59"/>
      <c r="AZ42" s="59">
        <f t="shared" si="1282"/>
        <v>21086.6806304905</v>
      </c>
      <c r="BA42" s="59">
        <v>21951</v>
      </c>
      <c r="BB42" s="59">
        <f t="shared" si="1297"/>
        <v>19932.8590435972</v>
      </c>
      <c r="BC42" s="59">
        <f t="shared" si="1298"/>
        <v>1153.82158689329</v>
      </c>
      <c r="BD42" s="43">
        <f t="shared" si="1242"/>
        <v>5.7885403412006597e-002</v>
      </c>
      <c r="BF42" s="84"/>
      <c r="BG42" s="339"/>
    </row>
    <row r="43" ht="17" customHeight="1">
      <c r="A43" s="46">
        <v>20</v>
      </c>
      <c r="B43" s="82" t="s">
        <v>89</v>
      </c>
      <c r="C43" s="46" t="s">
        <v>93</v>
      </c>
      <c r="D43" s="46">
        <v>2019</v>
      </c>
      <c r="E43" s="46" t="s">
        <v>94</v>
      </c>
      <c r="F43" s="46"/>
      <c r="G43" s="73">
        <f>148787-8738-6075</f>
        <v>133974</v>
      </c>
      <c r="H43" s="59">
        <f t="shared" si="1272"/>
        <v>120576.60000000001</v>
      </c>
      <c r="I43" s="59">
        <f t="shared" si="1273"/>
        <v>0</v>
      </c>
      <c r="J43" s="59">
        <f t="shared" si="1274"/>
        <v>0</v>
      </c>
      <c r="K43" s="59">
        <f t="shared" si="1275"/>
        <v>0</v>
      </c>
      <c r="L43" s="59">
        <f t="shared" si="1276"/>
        <v>120576.60000000001</v>
      </c>
      <c r="M43" s="59">
        <f t="shared" si="1277"/>
        <v>0</v>
      </c>
      <c r="N43" s="59">
        <v>23700</v>
      </c>
      <c r="O43" s="59">
        <v>40191</v>
      </c>
      <c r="P43" s="59">
        <f t="shared" si="1288"/>
        <v>13859.799999999999</v>
      </c>
      <c r="Q43" s="59">
        <v>1678</v>
      </c>
      <c r="R43" s="59"/>
      <c r="S43" s="59">
        <v>12853</v>
      </c>
      <c r="T43" s="59"/>
      <c r="U43" s="59">
        <v>8829</v>
      </c>
      <c r="V43" s="59">
        <f t="shared" si="1289"/>
        <v>13902.287367466401</v>
      </c>
      <c r="W43" s="59">
        <v>9928.6200000000008</v>
      </c>
      <c r="X43" s="62">
        <f t="shared" si="1290"/>
        <v>0.92462506172321501</v>
      </c>
      <c r="Y43" s="62">
        <f t="shared" si="1291"/>
        <v>14.5789331982146</v>
      </c>
      <c r="Z43" s="62">
        <f t="shared" si="1292"/>
        <v>14.5789331982146</v>
      </c>
      <c r="AA43" s="59">
        <f t="shared" si="1293"/>
        <v>5312.3005908280602</v>
      </c>
      <c r="AB43" s="59">
        <v>12006.1</v>
      </c>
      <c r="AC43" s="59">
        <f t="shared" si="1294"/>
        <v>843.49929658393796</v>
      </c>
      <c r="AD43" s="59"/>
      <c r="AE43" s="59"/>
      <c r="AF43" s="59">
        <v>41</v>
      </c>
      <c r="AG43" s="59">
        <f t="shared" si="1278"/>
        <v>41</v>
      </c>
      <c r="AH43" s="59">
        <f t="shared" si="1279"/>
        <v>468.14039508960099</v>
      </c>
      <c r="AI43" s="59">
        <v>0.852272442405555</v>
      </c>
      <c r="AJ43" s="59">
        <f t="shared" si="1280"/>
        <v>0.852272442405555</v>
      </c>
      <c r="AK43" s="59">
        <f t="shared" si="1281"/>
        <v>393.87524521983698</v>
      </c>
      <c r="AL43" s="338" t="s">
        <v>1544</v>
      </c>
      <c r="AM43" s="59">
        <v>100</v>
      </c>
      <c r="AN43" s="59">
        <v>3</v>
      </c>
      <c r="AO43" s="59">
        <f t="shared" si="1295"/>
        <v>1800</v>
      </c>
      <c r="AP43" s="59">
        <f t="shared" si="1296"/>
        <v>5685.9394065652796</v>
      </c>
      <c r="AQ43" s="62">
        <v>80.379999999999995</v>
      </c>
      <c r="AR43" s="62" t="s">
        <v>442</v>
      </c>
      <c r="AS43" s="59">
        <v>600</v>
      </c>
      <c r="AT43" s="59" t="s">
        <v>441</v>
      </c>
      <c r="AU43" s="59">
        <v>800</v>
      </c>
      <c r="AV43" s="62">
        <v>15.413143687194101</v>
      </c>
      <c r="AW43" s="59">
        <f t="shared" si="1263"/>
        <v>393.77707142686398</v>
      </c>
      <c r="AX43" s="59">
        <v>114.479969813157</v>
      </c>
      <c r="AY43" s="59"/>
      <c r="AZ43" s="59">
        <f t="shared" si="1282"/>
        <v>30299.819373179998</v>
      </c>
      <c r="BA43" s="59">
        <v>29321</v>
      </c>
      <c r="BB43" s="59">
        <f t="shared" si="1297"/>
        <v>26625.2726535152</v>
      </c>
      <c r="BC43" s="59">
        <f t="shared" si="1298"/>
        <v>3674.5467196647801</v>
      </c>
      <c r="BD43" s="43">
        <f t="shared" si="1242"/>
        <v>0.13800973111085299</v>
      </c>
      <c r="BF43" s="84"/>
      <c r="BG43" s="339"/>
    </row>
    <row r="44" ht="17" customHeight="1">
      <c r="A44" s="46">
        <v>21</v>
      </c>
      <c r="B44" s="82" t="s">
        <v>92</v>
      </c>
      <c r="C44" s="46" t="s">
        <v>90</v>
      </c>
      <c r="D44" s="46">
        <v>2018</v>
      </c>
      <c r="E44" s="46" t="s">
        <v>91</v>
      </c>
      <c r="F44" s="46"/>
      <c r="G44" s="73">
        <v>39345</v>
      </c>
      <c r="H44" s="59">
        <f t="shared" si="1272"/>
        <v>31476</v>
      </c>
      <c r="I44" s="59">
        <f t="shared" si="1273"/>
        <v>0</v>
      </c>
      <c r="J44" s="59">
        <f t="shared" si="1274"/>
        <v>0</v>
      </c>
      <c r="K44" s="59">
        <f t="shared" si="1275"/>
        <v>31476</v>
      </c>
      <c r="L44" s="59">
        <f t="shared" si="1276"/>
        <v>0</v>
      </c>
      <c r="M44" s="59">
        <f t="shared" si="1277"/>
        <v>0</v>
      </c>
      <c r="N44" s="59">
        <v>8053</v>
      </c>
      <c r="O44" s="59">
        <v>8207</v>
      </c>
      <c r="P44" s="59">
        <f t="shared" si="1288"/>
        <v>3855.1999999999998</v>
      </c>
      <c r="Q44" s="59">
        <v>0</v>
      </c>
      <c r="R44" s="59">
        <v>4819</v>
      </c>
      <c r="S44" s="59"/>
      <c r="T44" s="59"/>
      <c r="U44" s="59">
        <v>1226</v>
      </c>
      <c r="V44" s="59">
        <f t="shared" si="1289"/>
        <v>3847.3119035046302</v>
      </c>
      <c r="W44" s="59">
        <v>9461.5200000000004</v>
      </c>
      <c r="X44" s="62">
        <f t="shared" si="1290"/>
        <v>1</v>
      </c>
      <c r="Y44" s="62">
        <f t="shared" si="1291"/>
        <v>4.7397999999999998</v>
      </c>
      <c r="Z44" s="62">
        <f t="shared" si="1292"/>
        <v>4.7397999999999998</v>
      </c>
      <c r="AA44" s="59">
        <f t="shared" si="1293"/>
        <v>1727.0977236860101</v>
      </c>
      <c r="AB44" s="59">
        <v>2023.0699999999999</v>
      </c>
      <c r="AC44" s="59">
        <f t="shared" si="1294"/>
        <v>142.132592760352</v>
      </c>
      <c r="AD44" s="59"/>
      <c r="AE44" s="59"/>
      <c r="AF44" s="59">
        <v>39</v>
      </c>
      <c r="AG44" s="59">
        <f t="shared" si="1278"/>
        <v>39</v>
      </c>
      <c r="AH44" s="59">
        <f t="shared" si="1279"/>
        <v>445.304278255962</v>
      </c>
      <c r="AI44" s="59">
        <v>1</v>
      </c>
      <c r="AJ44" s="59">
        <f t="shared" si="1280"/>
        <v>1</v>
      </c>
      <c r="AK44" s="59">
        <f t="shared" si="1281"/>
        <v>462.147108861243</v>
      </c>
      <c r="AL44" s="338" t="s">
        <v>1544</v>
      </c>
      <c r="AM44" s="59">
        <v>100</v>
      </c>
      <c r="AN44" s="59">
        <v>3</v>
      </c>
      <c r="AO44" s="59">
        <f t="shared" si="1295"/>
        <v>1800</v>
      </c>
      <c r="AP44" s="59"/>
      <c r="AQ44" s="62">
        <v>84.799999999999997</v>
      </c>
      <c r="AR44" s="62" t="s">
        <v>442</v>
      </c>
      <c r="AS44" s="59">
        <v>600</v>
      </c>
      <c r="AT44" s="59" t="s">
        <v>441</v>
      </c>
      <c r="AU44" s="59">
        <v>800</v>
      </c>
      <c r="AV44" s="62">
        <v>14.060974828215</v>
      </c>
      <c r="AW44" s="59">
        <f t="shared" si="1263"/>
        <v>359.23167924929101</v>
      </c>
      <c r="AX44" s="59">
        <v>1572.5043673571299</v>
      </c>
      <c r="AY44" s="59"/>
      <c r="AZ44" s="59">
        <f t="shared" si="1282"/>
        <v>10283.2252863175</v>
      </c>
      <c r="BA44" s="59">
        <v>9459</v>
      </c>
      <c r="BB44" s="59">
        <f t="shared" si="1297"/>
        <v>8589.3541840183007</v>
      </c>
      <c r="BC44" s="59">
        <f t="shared" si="1298"/>
        <v>1693.8711022991899</v>
      </c>
      <c r="BD44" s="43">
        <f t="shared" si="1242"/>
        <v>0.197205874389354</v>
      </c>
      <c r="BG44" s="340"/>
    </row>
    <row r="45" s="5" customFormat="1" ht="17" customHeight="1">
      <c r="A45" s="46">
        <v>22</v>
      </c>
      <c r="B45" s="82" t="s">
        <v>95</v>
      </c>
      <c r="C45" s="46" t="s">
        <v>93</v>
      </c>
      <c r="D45" s="46">
        <v>2020</v>
      </c>
      <c r="E45" s="46" t="s">
        <v>94</v>
      </c>
      <c r="F45" s="46"/>
      <c r="G45" s="73">
        <f>440617-118</f>
        <v>440499</v>
      </c>
      <c r="H45" s="59">
        <f t="shared" si="1272"/>
        <v>440499</v>
      </c>
      <c r="I45" s="59">
        <f t="shared" si="1273"/>
        <v>0</v>
      </c>
      <c r="J45" s="59">
        <f t="shared" si="1274"/>
        <v>0</v>
      </c>
      <c r="K45" s="59">
        <f t="shared" si="1275"/>
        <v>0</v>
      </c>
      <c r="L45" s="59">
        <f t="shared" si="1276"/>
        <v>0</v>
      </c>
      <c r="M45" s="59">
        <f t="shared" si="1277"/>
        <v>440499</v>
      </c>
      <c r="N45" s="59">
        <v>69400</v>
      </c>
      <c r="O45" s="59">
        <v>57501</v>
      </c>
      <c r="P45" s="59">
        <f t="shared" si="1288"/>
        <v>44439.599999999999</v>
      </c>
      <c r="Q45" s="59">
        <v>0</v>
      </c>
      <c r="R45" s="59">
        <v>14177</v>
      </c>
      <c r="S45" s="59">
        <v>33098</v>
      </c>
      <c r="T45" s="59"/>
      <c r="U45" s="59">
        <v>11722</v>
      </c>
      <c r="V45" s="59">
        <f t="shared" si="1289"/>
        <v>40693.179967528798</v>
      </c>
      <c r="W45" s="59">
        <v>10690.68</v>
      </c>
      <c r="X45" s="62">
        <f t="shared" si="1290"/>
        <v>0.80165305259624797</v>
      </c>
      <c r="Y45" s="62">
        <f t="shared" si="1291"/>
        <v>40.876208986577403</v>
      </c>
      <c r="Z45" s="62">
        <f t="shared" si="1292"/>
        <v>40.876208986577403</v>
      </c>
      <c r="AA45" s="59">
        <f t="shared" si="1293"/>
        <v>14894.554093765801</v>
      </c>
      <c r="AB45" s="59">
        <v>63245.419000000002</v>
      </c>
      <c r="AC45" s="59">
        <f t="shared" si="1294"/>
        <v>4443.3634934455304</v>
      </c>
      <c r="AD45" s="59"/>
      <c r="AE45" s="59"/>
      <c r="AF45" s="59">
        <v>153</v>
      </c>
      <c r="AG45" s="59">
        <f t="shared" si="1278"/>
        <v>153</v>
      </c>
      <c r="AH45" s="59">
        <f t="shared" si="1279"/>
        <v>1746.96293777339</v>
      </c>
      <c r="AI45" s="59">
        <v>0.82168925964546402</v>
      </c>
      <c r="AJ45" s="59">
        <f t="shared" si="1280"/>
        <v>0.82168925964546402</v>
      </c>
      <c r="AK45" s="59">
        <f t="shared" si="1281"/>
        <v>379.74131572748598</v>
      </c>
      <c r="AL45" s="338" t="s">
        <v>1544</v>
      </c>
      <c r="AM45" s="59">
        <v>100</v>
      </c>
      <c r="AN45" s="59">
        <v>3</v>
      </c>
      <c r="AO45" s="59">
        <f t="shared" si="1295"/>
        <v>1800</v>
      </c>
      <c r="AP45" s="59">
        <f t="shared" ref="AP45:AP46" si="1299">5000+BF45+N45/470414*13615</f>
        <v>25290.299376785399</v>
      </c>
      <c r="AQ45" s="62">
        <v>72.629999999999995</v>
      </c>
      <c r="AR45" s="62" t="s">
        <v>440</v>
      </c>
      <c r="AS45" s="59"/>
      <c r="AT45" s="59" t="s">
        <v>441</v>
      </c>
      <c r="AU45" s="59">
        <v>800</v>
      </c>
      <c r="AV45" s="62">
        <v>18.3993299626297</v>
      </c>
      <c r="AW45" s="59">
        <f t="shared" si="1263"/>
        <v>470.06856069995098</v>
      </c>
      <c r="AX45" s="59">
        <v>1498.1282755178399</v>
      </c>
      <c r="AY45" s="59"/>
      <c r="AZ45" s="59">
        <f t="shared" si="1282"/>
        <v>90618.169745726394</v>
      </c>
      <c r="BA45" s="59">
        <v>97581</v>
      </c>
      <c r="BB45" s="59">
        <f t="shared" si="1297"/>
        <v>88609.553930720998</v>
      </c>
      <c r="BC45" s="59">
        <f t="shared" si="1298"/>
        <v>2008.61581500548</v>
      </c>
      <c r="BD45" s="43">
        <f t="shared" si="1242"/>
        <v>2.2668163035510999e-002</v>
      </c>
      <c r="BF45" s="341">
        <v>18281.683561779901</v>
      </c>
      <c r="BG45" s="339"/>
    </row>
    <row r="46" ht="17" customHeight="1">
      <c r="A46" s="46">
        <v>23</v>
      </c>
      <c r="B46" s="82" t="s">
        <v>96</v>
      </c>
      <c r="C46" s="46" t="s">
        <v>93</v>
      </c>
      <c r="D46" s="46">
        <v>2019</v>
      </c>
      <c r="E46" s="46" t="s">
        <v>94</v>
      </c>
      <c r="F46" s="46"/>
      <c r="G46" s="73">
        <f>210338-4255-1915</f>
        <v>204168</v>
      </c>
      <c r="H46" s="59">
        <f t="shared" si="1272"/>
        <v>183751.20000000001</v>
      </c>
      <c r="I46" s="59">
        <f t="shared" si="1273"/>
        <v>0</v>
      </c>
      <c r="J46" s="59">
        <f t="shared" si="1274"/>
        <v>0</v>
      </c>
      <c r="K46" s="59">
        <f t="shared" si="1275"/>
        <v>0</v>
      </c>
      <c r="L46" s="59">
        <f t="shared" si="1276"/>
        <v>183751.20000000001</v>
      </c>
      <c r="M46" s="59">
        <f t="shared" si="1277"/>
        <v>0</v>
      </c>
      <c r="N46" s="59">
        <v>32031</v>
      </c>
      <c r="O46" s="59">
        <v>44470</v>
      </c>
      <c r="P46" s="59">
        <f t="shared" si="1288"/>
        <v>26691.799999999999</v>
      </c>
      <c r="Q46" s="59">
        <v>3443</v>
      </c>
      <c r="R46" s="59"/>
      <c r="S46" s="59">
        <v>24626</v>
      </c>
      <c r="T46" s="59"/>
      <c r="U46" s="59">
        <v>7317</v>
      </c>
      <c r="V46" s="59">
        <f t="shared" si="1289"/>
        <v>20041.2694081505</v>
      </c>
      <c r="W46" s="59">
        <v>10239.68</v>
      </c>
      <c r="X46" s="62">
        <f t="shared" si="1290"/>
        <v>0.87442996795233796</v>
      </c>
      <c r="Y46" s="62">
        <f t="shared" si="1291"/>
        <v>20.6539484000374</v>
      </c>
      <c r="Z46" s="62">
        <f t="shared" si="1292"/>
        <v>20.6539484000374</v>
      </c>
      <c r="AA46" s="59">
        <f t="shared" si="1293"/>
        <v>7525.9266776726599</v>
      </c>
      <c r="AB46" s="59">
        <v>25700.77</v>
      </c>
      <c r="AC46" s="59">
        <f t="shared" si="1294"/>
        <v>1805.6305891726299</v>
      </c>
      <c r="AD46" s="59"/>
      <c r="AE46" s="59"/>
      <c r="AF46" s="59">
        <v>14</v>
      </c>
      <c r="AG46" s="59">
        <f t="shared" si="1278"/>
        <v>14</v>
      </c>
      <c r="AH46" s="59">
        <f t="shared" si="1279"/>
        <v>159.85281783547299</v>
      </c>
      <c r="AI46" s="59">
        <v>0.84999728058884305</v>
      </c>
      <c r="AJ46" s="59">
        <f t="shared" si="1280"/>
        <v>0.84999728058884305</v>
      </c>
      <c r="AK46" s="59">
        <f t="shared" si="1281"/>
        <v>392.82378576405199</v>
      </c>
      <c r="AL46" s="338" t="s">
        <v>1544</v>
      </c>
      <c r="AM46" s="59">
        <v>100</v>
      </c>
      <c r="AN46" s="59">
        <v>3</v>
      </c>
      <c r="AO46" s="59">
        <f t="shared" si="1295"/>
        <v>1800</v>
      </c>
      <c r="AP46" s="59">
        <f t="shared" si="1299"/>
        <v>6323.7729429580704</v>
      </c>
      <c r="AQ46" s="62">
        <v>76.730000000000004</v>
      </c>
      <c r="AR46" s="62" t="s">
        <v>440</v>
      </c>
      <c r="AS46" s="59"/>
      <c r="AT46" s="59" t="s">
        <v>441</v>
      </c>
      <c r="AU46" s="59">
        <v>800</v>
      </c>
      <c r="AV46" s="62">
        <v>7.7182312175927796</v>
      </c>
      <c r="AW46" s="59">
        <f t="shared" si="1263"/>
        <v>197.186410971062</v>
      </c>
      <c r="AX46" s="59">
        <v>1982.57424507113</v>
      </c>
      <c r="AY46" s="59"/>
      <c r="AZ46" s="59">
        <f t="shared" si="1282"/>
        <v>39146.462632524403</v>
      </c>
      <c r="BA46" s="59">
        <v>42089</v>
      </c>
      <c r="BB46" s="59">
        <f t="shared" si="1297"/>
        <v>38219.402500385499</v>
      </c>
      <c r="BC46" s="59">
        <f t="shared" si="1298"/>
        <v>927.060132138933</v>
      </c>
      <c r="BD46" s="43">
        <f t="shared" si="1242"/>
        <v>2.4256269629792999e-002</v>
      </c>
      <c r="BF46" s="341">
        <v>396.712810819146</v>
      </c>
      <c r="BG46" s="339"/>
    </row>
    <row r="47" ht="17" customHeight="1">
      <c r="A47" s="46">
        <v>24</v>
      </c>
      <c r="B47" s="82" t="s">
        <v>97</v>
      </c>
      <c r="C47" s="46" t="s">
        <v>90</v>
      </c>
      <c r="D47" s="46">
        <v>2018</v>
      </c>
      <c r="E47" s="46" t="s">
        <v>91</v>
      </c>
      <c r="F47" s="46"/>
      <c r="G47" s="73">
        <v>56739</v>
      </c>
      <c r="H47" s="59">
        <f t="shared" si="1272"/>
        <v>45391.199999999997</v>
      </c>
      <c r="I47" s="59">
        <f t="shared" si="1273"/>
        <v>0</v>
      </c>
      <c r="J47" s="59">
        <f t="shared" si="1274"/>
        <v>0</v>
      </c>
      <c r="K47" s="59">
        <f t="shared" si="1275"/>
        <v>45391.199999999997</v>
      </c>
      <c r="L47" s="59">
        <f t="shared" si="1276"/>
        <v>0</v>
      </c>
      <c r="M47" s="59">
        <f t="shared" si="1277"/>
        <v>0</v>
      </c>
      <c r="N47" s="59">
        <v>9593</v>
      </c>
      <c r="O47" s="59">
        <v>16255</v>
      </c>
      <c r="P47" s="59">
        <f t="shared" si="1288"/>
        <v>4534.1999999999998</v>
      </c>
      <c r="Q47" s="59">
        <v>2397</v>
      </c>
      <c r="R47" s="59">
        <v>3870</v>
      </c>
      <c r="S47" s="59"/>
      <c r="T47" s="59"/>
      <c r="U47" s="59">
        <v>1345</v>
      </c>
      <c r="V47" s="59">
        <f t="shared" si="1289"/>
        <v>4766.4601839913603</v>
      </c>
      <c r="W47" s="59">
        <v>11353.58</v>
      </c>
      <c r="X47" s="62">
        <f t="shared" si="1290"/>
        <v>0.69468228277462396</v>
      </c>
      <c r="Y47" s="62">
        <f t="shared" si="1291"/>
        <v>4.60796651810064</v>
      </c>
      <c r="Z47" s="62">
        <f t="shared" si="1292"/>
        <v>4.60796651810064</v>
      </c>
      <c r="AA47" s="59">
        <f t="shared" si="1293"/>
        <v>1679.0599781072899</v>
      </c>
      <c r="AB47" s="59">
        <v>2429.509732</v>
      </c>
      <c r="AC47" s="59">
        <f t="shared" si="1294"/>
        <v>170.68737974744801</v>
      </c>
      <c r="AD47" s="59"/>
      <c r="AE47" s="59"/>
      <c r="AF47" s="59">
        <v>89</v>
      </c>
      <c r="AG47" s="59">
        <f t="shared" si="1278"/>
        <v>89</v>
      </c>
      <c r="AH47" s="59">
        <f t="shared" si="1279"/>
        <v>1016.20719909694</v>
      </c>
      <c r="AI47" s="59">
        <v>0.79054673721340396</v>
      </c>
      <c r="AJ47" s="59">
        <f t="shared" si="1280"/>
        <v>0.79054673721340396</v>
      </c>
      <c r="AK47" s="59">
        <f t="shared" si="1281"/>
        <v>365.34888902286298</v>
      </c>
      <c r="AL47" s="338" t="s">
        <v>1544</v>
      </c>
      <c r="AM47" s="59">
        <v>100</v>
      </c>
      <c r="AN47" s="59">
        <v>3</v>
      </c>
      <c r="AO47" s="59">
        <f t="shared" si="1295"/>
        <v>1800</v>
      </c>
      <c r="AP47" s="59"/>
      <c r="AQ47" s="62">
        <v>71.200000000000003</v>
      </c>
      <c r="AR47" s="62" t="s">
        <v>440</v>
      </c>
      <c r="AS47" s="59"/>
      <c r="AT47" s="59" t="s">
        <v>441</v>
      </c>
      <c r="AU47" s="59">
        <v>800</v>
      </c>
      <c r="AV47" s="62">
        <v>5.6354805121913403</v>
      </c>
      <c r="AW47" s="59">
        <f t="shared" si="1263"/>
        <v>143.97601535484401</v>
      </c>
      <c r="AX47" s="59">
        <v>2500</v>
      </c>
      <c r="AY47" s="59"/>
      <c r="AZ47" s="59">
        <f t="shared" si="1282"/>
        <v>10841.7396453207</v>
      </c>
      <c r="BA47" s="59">
        <v>12408</v>
      </c>
      <c r="BB47" s="59">
        <f t="shared" si="1297"/>
        <v>11267.2276895337</v>
      </c>
      <c r="BC47" s="59">
        <f t="shared" si="1298"/>
        <v>-425.48804421292698</v>
      </c>
      <c r="BD47" s="43">
        <f t="shared" si="1242"/>
        <v>-3.7763330602448901e-002</v>
      </c>
      <c r="BG47" s="340"/>
    </row>
    <row r="48" ht="17" customHeight="1">
      <c r="A48" s="46">
        <v>25</v>
      </c>
      <c r="B48" s="82" t="s">
        <v>98</v>
      </c>
      <c r="C48" s="46" t="s">
        <v>78</v>
      </c>
      <c r="D48" s="46"/>
      <c r="E48" s="46"/>
      <c r="F48" s="46"/>
      <c r="G48" s="73">
        <v>11311</v>
      </c>
      <c r="H48" s="59">
        <f t="shared" si="1272"/>
        <v>6786.6000000000004</v>
      </c>
      <c r="I48" s="59">
        <f t="shared" si="1273"/>
        <v>6786.6000000000004</v>
      </c>
      <c r="J48" s="59">
        <f t="shared" si="1274"/>
        <v>0</v>
      </c>
      <c r="K48" s="59">
        <f t="shared" si="1275"/>
        <v>0</v>
      </c>
      <c r="L48" s="59">
        <f t="shared" si="1276"/>
        <v>0</v>
      </c>
      <c r="M48" s="59">
        <f t="shared" si="1277"/>
        <v>0</v>
      </c>
      <c r="N48" s="59">
        <v>392</v>
      </c>
      <c r="O48" s="59">
        <v>1691</v>
      </c>
      <c r="P48" s="59">
        <f t="shared" si="1288"/>
        <v>0</v>
      </c>
      <c r="Q48" s="59"/>
      <c r="R48" s="59"/>
      <c r="S48" s="59"/>
      <c r="T48" s="59"/>
      <c r="U48" s="59">
        <v>0</v>
      </c>
      <c r="V48" s="59">
        <f t="shared" si="1289"/>
        <v>280.56282456158101</v>
      </c>
      <c r="W48" s="59">
        <v>10404.059999999999</v>
      </c>
      <c r="X48" s="62">
        <f t="shared" si="1290"/>
        <v>0.84790431529993504</v>
      </c>
      <c r="Y48" s="62">
        <f t="shared" si="1291"/>
        <v>0.99230242019551396</v>
      </c>
      <c r="Z48" s="62">
        <f t="shared" ref="Z48:Z54" si="1300">Y48*0.2</f>
        <v>0.19846048403910299</v>
      </c>
      <c r="AA48" s="59">
        <f t="shared" si="1293"/>
        <v>72.315424749052099</v>
      </c>
      <c r="AB48" s="59">
        <v>776.38</v>
      </c>
      <c r="AC48" s="59">
        <f t="shared" si="1294"/>
        <v>54.545271477152198</v>
      </c>
      <c r="AD48" s="59"/>
      <c r="AE48" s="59"/>
      <c r="AF48" s="59">
        <v>17</v>
      </c>
      <c r="AG48" s="59">
        <f t="shared" ref="AG48:AG54" si="1301">AF48*0.5</f>
        <v>8.5</v>
      </c>
      <c r="AH48" s="59">
        <f t="shared" si="1279"/>
        <v>97.053496542966002</v>
      </c>
      <c r="AI48" s="59">
        <v>1</v>
      </c>
      <c r="AJ48" s="59">
        <f t="shared" ref="AJ48:AJ54" si="1302">AI48*0.5</f>
        <v>0.5</v>
      </c>
      <c r="AK48" s="59">
        <f t="shared" si="1281"/>
        <v>231.07355443062099</v>
      </c>
      <c r="AL48" s="338" t="s">
        <v>1544</v>
      </c>
      <c r="AM48" s="59">
        <v>100</v>
      </c>
      <c r="AN48" s="59">
        <v>2</v>
      </c>
      <c r="AO48" s="59">
        <f t="shared" si="1295"/>
        <v>1200</v>
      </c>
      <c r="AP48" s="59"/>
      <c r="AQ48" s="62">
        <v>77.060000000000002</v>
      </c>
      <c r="AR48" s="62" t="s">
        <v>440</v>
      </c>
      <c r="AS48" s="59"/>
      <c r="AT48" s="59" t="s">
        <v>441</v>
      </c>
      <c r="AU48" s="59">
        <v>300</v>
      </c>
      <c r="AV48" s="62">
        <v>5.8108228602873204</v>
      </c>
      <c r="AW48" s="59">
        <f t="shared" si="1263"/>
        <v>148.45568528666399</v>
      </c>
      <c r="AX48" s="59">
        <v>77.120270907493804</v>
      </c>
      <c r="AY48" s="59"/>
      <c r="AZ48" s="59">
        <f t="shared" si="1282"/>
        <v>2484.00625704804</v>
      </c>
      <c r="BA48" s="59">
        <v>1956</v>
      </c>
      <c r="BB48" s="59">
        <f t="shared" si="1297"/>
        <v>1776.16838819535</v>
      </c>
      <c r="BC48" s="59">
        <f t="shared" si="1298"/>
        <v>707.83786885268898</v>
      </c>
      <c r="BD48" s="43">
        <f t="shared" si="1242"/>
        <v>0.39851957368292001</v>
      </c>
      <c r="BG48" s="340"/>
    </row>
    <row r="49" s="5" customFormat="1" ht="17" customHeight="1">
      <c r="A49" s="65"/>
      <c r="B49" s="66" t="s">
        <v>99</v>
      </c>
      <c r="C49" s="67">
        <v>1</v>
      </c>
      <c r="D49" s="67"/>
      <c r="E49" s="67"/>
      <c r="F49" s="68"/>
      <c r="G49" s="69">
        <f t="shared" ref="G49:P49" si="1303">G50+G51</f>
        <v>740646</v>
      </c>
      <c r="H49" s="69">
        <f t="shared" si="1303"/>
        <v>651099.40000000002</v>
      </c>
      <c r="I49" s="69">
        <f t="shared" si="1303"/>
        <v>47099.400000000001</v>
      </c>
      <c r="J49" s="69">
        <f t="shared" si="1303"/>
        <v>25648</v>
      </c>
      <c r="K49" s="69">
        <f t="shared" si="1303"/>
        <v>128608</v>
      </c>
      <c r="L49" s="69">
        <f t="shared" si="1303"/>
        <v>135027</v>
      </c>
      <c r="M49" s="69">
        <f t="shared" si="1303"/>
        <v>314717</v>
      </c>
      <c r="N49" s="69">
        <f t="shared" si="1303"/>
        <v>94118</v>
      </c>
      <c r="O49" s="69">
        <f t="shared" si="1303"/>
        <v>156823</v>
      </c>
      <c r="P49" s="69">
        <f t="shared" si="1303"/>
        <v>85243.399999999994</v>
      </c>
      <c r="Q49" s="59">
        <v>16634</v>
      </c>
      <c r="R49" s="69">
        <f t="shared" ref="R49:V49" si="1304">R50+R51</f>
        <v>0</v>
      </c>
      <c r="S49" s="69">
        <f t="shared" si="1304"/>
        <v>75263</v>
      </c>
      <c r="T49" s="69">
        <f t="shared" si="1304"/>
        <v>0</v>
      </c>
      <c r="U49" s="69">
        <f t="shared" si="1304"/>
        <v>13880</v>
      </c>
      <c r="V49" s="69">
        <f t="shared" si="1304"/>
        <v>61736.187344222199</v>
      </c>
      <c r="W49" s="69"/>
      <c r="X49" s="69">
        <f t="shared" ref="X49:AM49" si="1305">X50+X51</f>
        <v>6.0643067151630996</v>
      </c>
      <c r="Y49" s="69">
        <f t="shared" si="1305"/>
        <v>63.754647544142202</v>
      </c>
      <c r="Z49" s="69">
        <f t="shared" si="1305"/>
        <v>55.004728434554004</v>
      </c>
      <c r="AA49" s="69">
        <f t="shared" si="1305"/>
        <v>20042.7320290487</v>
      </c>
      <c r="AB49" s="69">
        <f t="shared" si="1305"/>
        <v>48597.519</v>
      </c>
      <c r="AC49" s="69">
        <f t="shared" si="1305"/>
        <v>3414.2621744133899</v>
      </c>
      <c r="AD49" s="69">
        <f t="shared" si="1305"/>
        <v>0</v>
      </c>
      <c r="AE49" s="69">
        <f t="shared" si="1305"/>
        <v>0</v>
      </c>
      <c r="AF49" s="69">
        <f t="shared" si="1305"/>
        <v>411</v>
      </c>
      <c r="AG49" s="69">
        <f t="shared" si="1305"/>
        <v>331</v>
      </c>
      <c r="AH49" s="69">
        <f t="shared" si="1305"/>
        <v>3779.37733596726</v>
      </c>
      <c r="AI49" s="69">
        <f t="shared" si="1305"/>
        <v>9</v>
      </c>
      <c r="AJ49" s="69">
        <f t="shared" si="1305"/>
        <v>7</v>
      </c>
      <c r="AK49" s="69">
        <f t="shared" si="1305"/>
        <v>3235.0297620287001</v>
      </c>
      <c r="AL49" s="69">
        <f t="shared" si="1305"/>
        <v>0</v>
      </c>
      <c r="AM49" s="69">
        <f t="shared" si="1305"/>
        <v>500</v>
      </c>
      <c r="AN49" s="69">
        <v>12</v>
      </c>
      <c r="AO49" s="69">
        <f t="shared" ref="AO49:AR49" si="1306">AO50+AO51</f>
        <v>7200</v>
      </c>
      <c r="AP49" s="69">
        <f t="shared" si="1306"/>
        <v>23549.684608025698</v>
      </c>
      <c r="AQ49" s="71"/>
      <c r="AR49" s="69">
        <f t="shared" si="1306"/>
        <v>0</v>
      </c>
      <c r="AS49" s="69">
        <v>900</v>
      </c>
      <c r="AT49" s="69"/>
      <c r="AU49" s="69">
        <v>2200</v>
      </c>
      <c r="AV49" s="71">
        <f t="shared" ref="AV49:AZ49" si="1307">AV50+AV51</f>
        <v>99.538858352697105</v>
      </c>
      <c r="AW49" s="71">
        <v>2543.0321633778299</v>
      </c>
      <c r="AX49" s="69">
        <f t="shared" si="1307"/>
        <v>6626.7648378127096</v>
      </c>
      <c r="AY49" s="71">
        <f t="shared" si="1307"/>
        <v>0</v>
      </c>
      <c r="AZ49" s="71">
        <f t="shared" si="1307"/>
        <v>129100.305417084</v>
      </c>
      <c r="BA49" s="69">
        <v>135177</v>
      </c>
      <c r="BB49" s="69">
        <f>BB50+BB51</f>
        <v>122749.035895236</v>
      </c>
      <c r="BC49" s="69">
        <f>BC50+BC51</f>
        <v>6351.26952184736</v>
      </c>
      <c r="BD49" s="336">
        <f t="shared" si="1242"/>
        <v>5.1741909625001303e-002</v>
      </c>
      <c r="BG49" s="340"/>
    </row>
    <row r="50" s="5" customFormat="1" ht="17" customHeight="1">
      <c r="A50" s="44"/>
      <c r="B50" s="72" t="s">
        <v>100</v>
      </c>
      <c r="C50" s="46">
        <v>2</v>
      </c>
      <c r="D50" s="46"/>
      <c r="E50" s="46"/>
      <c r="F50" s="46"/>
      <c r="G50" s="73"/>
      <c r="H50" s="59">
        <f t="shared" ref="H50:H60" si="1308">SUM(I50:M50)</f>
        <v>0</v>
      </c>
      <c r="I50" s="59">
        <f t="shared" ref="I50:I60" si="1309">IF(D50="",G50*0.6,0)</f>
        <v>0</v>
      </c>
      <c r="J50" s="59">
        <f t="shared" ref="J50:J60" si="1310">IF(D50=2017,G50*0.7,0)</f>
        <v>0</v>
      </c>
      <c r="K50" s="59">
        <f t="shared" ref="K50:K60" si="1311">IF(D50=2018,G50*0.8,0)</f>
        <v>0</v>
      </c>
      <c r="L50" s="59">
        <f t="shared" ref="L50:L60" si="1312">IF(D50=2019,G50*0.9,0)</f>
        <v>0</v>
      </c>
      <c r="M50" s="59">
        <f t="shared" ref="M50:M60" si="1313">IF(D50=2020,G50*1,0)</f>
        <v>0</v>
      </c>
      <c r="N50" s="59"/>
      <c r="O50" s="59"/>
      <c r="P50" s="59">
        <f>L50*0.4+M50*0.6+N50*0.8+O50*1</f>
        <v>0</v>
      </c>
      <c r="Q50" s="59"/>
      <c r="R50" s="59"/>
      <c r="S50" s="59"/>
      <c r="T50" s="59"/>
      <c r="U50" s="59"/>
      <c r="V50" s="59">
        <f>H50/$H$9*134866+N50/$N$9*202299+P50/$P$9*100000+U50/$U$9*34867</f>
        <v>0</v>
      </c>
      <c r="W50" s="59"/>
      <c r="X50" s="62"/>
      <c r="Y50" s="62"/>
      <c r="Z50" s="62"/>
      <c r="AA50" s="59"/>
      <c r="AB50" s="59"/>
      <c r="AC50" s="59"/>
      <c r="AD50" s="59"/>
      <c r="AE50" s="59"/>
      <c r="AF50" s="59"/>
      <c r="AG50" s="59">
        <f>AF50</f>
        <v>0</v>
      </c>
      <c r="AH50" s="59">
        <f t="shared" ref="AH50:AH60" si="1314">AG50/$AG$9*40459.89</f>
        <v>0</v>
      </c>
      <c r="AI50" s="59"/>
      <c r="AJ50" s="59">
        <f>AI50</f>
        <v>0</v>
      </c>
      <c r="AK50" s="59">
        <f t="shared" ref="AK50:AK60" si="1315">AJ50/$AJ$9*40459.89</f>
        <v>0</v>
      </c>
      <c r="AL50" s="59"/>
      <c r="AM50" s="59"/>
      <c r="AN50" s="59"/>
      <c r="AO50" s="59"/>
      <c r="AP50" s="59"/>
      <c r="AQ50" s="62"/>
      <c r="AR50" s="62"/>
      <c r="AS50" s="59"/>
      <c r="AT50" s="59"/>
      <c r="AU50" s="59"/>
      <c r="AV50" s="62"/>
      <c r="AW50" s="59">
        <v>0</v>
      </c>
      <c r="AX50" s="59"/>
      <c r="AY50" s="59"/>
      <c r="AZ50" s="59">
        <f t="shared" ref="AZ50:AZ60" si="1316">V50+AA50+AC50+AE50+AH50+AK50+AM50+AO50+AP50+AS50+AU50+AW50+AY50</f>
        <v>0</v>
      </c>
      <c r="BA50" s="73"/>
      <c r="BB50" s="170"/>
      <c r="BC50" s="50"/>
      <c r="BD50" s="43"/>
      <c r="BG50" s="340"/>
    </row>
    <row r="51" s="5" customFormat="1" ht="17" customHeight="1">
      <c r="A51" s="75"/>
      <c r="B51" s="76" t="s">
        <v>76</v>
      </c>
      <c r="C51" s="77">
        <v>3</v>
      </c>
      <c r="D51" s="77"/>
      <c r="E51" s="77"/>
      <c r="F51" s="78"/>
      <c r="G51" s="79">
        <f t="shared" ref="G51:P51" si="1317">SUM(G52:G60)</f>
        <v>740646</v>
      </c>
      <c r="H51" s="79">
        <f t="shared" si="1317"/>
        <v>651099.40000000002</v>
      </c>
      <c r="I51" s="79">
        <f t="shared" si="1317"/>
        <v>47099.400000000001</v>
      </c>
      <c r="J51" s="79">
        <f t="shared" si="1317"/>
        <v>25648</v>
      </c>
      <c r="K51" s="79">
        <f t="shared" si="1317"/>
        <v>128608</v>
      </c>
      <c r="L51" s="79">
        <f t="shared" si="1317"/>
        <v>135027</v>
      </c>
      <c r="M51" s="79">
        <f t="shared" si="1317"/>
        <v>314717</v>
      </c>
      <c r="N51" s="79">
        <f t="shared" si="1317"/>
        <v>94118</v>
      </c>
      <c r="O51" s="79">
        <f t="shared" si="1317"/>
        <v>156823</v>
      </c>
      <c r="P51" s="79">
        <f t="shared" si="1317"/>
        <v>85243.399999999994</v>
      </c>
      <c r="Q51" s="59">
        <v>16634</v>
      </c>
      <c r="R51" s="79">
        <f t="shared" ref="R51:V51" si="1318">SUM(R52:R60)</f>
        <v>0</v>
      </c>
      <c r="S51" s="79">
        <f t="shared" si="1318"/>
        <v>75263</v>
      </c>
      <c r="T51" s="79">
        <f t="shared" si="1318"/>
        <v>0</v>
      </c>
      <c r="U51" s="79">
        <f t="shared" si="1318"/>
        <v>13880</v>
      </c>
      <c r="V51" s="79">
        <f t="shared" si="1318"/>
        <v>61736.187344222199</v>
      </c>
      <c r="W51" s="79"/>
      <c r="X51" s="79">
        <f t="shared" ref="X51:AM51" si="1319">SUM(X52:X60)</f>
        <v>6.0643067151630996</v>
      </c>
      <c r="Y51" s="79">
        <f t="shared" si="1319"/>
        <v>63.754647544142202</v>
      </c>
      <c r="Z51" s="79">
        <f t="shared" si="1319"/>
        <v>55.004728434554004</v>
      </c>
      <c r="AA51" s="79">
        <f t="shared" si="1319"/>
        <v>20042.7320290487</v>
      </c>
      <c r="AB51" s="79">
        <f t="shared" si="1319"/>
        <v>48597.519</v>
      </c>
      <c r="AC51" s="79">
        <f t="shared" si="1319"/>
        <v>3414.2621744133899</v>
      </c>
      <c r="AD51" s="79">
        <f t="shared" si="1319"/>
        <v>0</v>
      </c>
      <c r="AE51" s="79">
        <f t="shared" si="1319"/>
        <v>0</v>
      </c>
      <c r="AF51" s="79">
        <f t="shared" si="1319"/>
        <v>411</v>
      </c>
      <c r="AG51" s="79">
        <f t="shared" si="1319"/>
        <v>331</v>
      </c>
      <c r="AH51" s="79">
        <f t="shared" si="1319"/>
        <v>3779.37733596726</v>
      </c>
      <c r="AI51" s="79">
        <f t="shared" si="1319"/>
        <v>9</v>
      </c>
      <c r="AJ51" s="79">
        <f t="shared" si="1319"/>
        <v>7</v>
      </c>
      <c r="AK51" s="79">
        <f t="shared" si="1319"/>
        <v>3235.0297620287001</v>
      </c>
      <c r="AL51" s="79">
        <f t="shared" si="1319"/>
        <v>0</v>
      </c>
      <c r="AM51" s="79">
        <f t="shared" si="1319"/>
        <v>500</v>
      </c>
      <c r="AN51" s="79">
        <v>12</v>
      </c>
      <c r="AO51" s="79">
        <f t="shared" ref="AO51:AR51" si="1320">SUM(AO52:AO60)</f>
        <v>7200</v>
      </c>
      <c r="AP51" s="79">
        <f t="shared" si="1320"/>
        <v>23549.684608025698</v>
      </c>
      <c r="AQ51" s="81"/>
      <c r="AR51" s="79">
        <f t="shared" si="1320"/>
        <v>0</v>
      </c>
      <c r="AS51" s="79">
        <v>900</v>
      </c>
      <c r="AT51" s="79"/>
      <c r="AU51" s="79">
        <v>2200</v>
      </c>
      <c r="AV51" s="81">
        <f t="shared" ref="AV51:AZ51" si="1321">SUM(AV52:AV60)</f>
        <v>99.538858352697105</v>
      </c>
      <c r="AW51" s="81">
        <v>2543.0321633778299</v>
      </c>
      <c r="AX51" s="79">
        <f t="shared" si="1321"/>
        <v>6626.7648378127096</v>
      </c>
      <c r="AY51" s="81">
        <f t="shared" si="1321"/>
        <v>0</v>
      </c>
      <c r="AZ51" s="81">
        <f t="shared" si="1321"/>
        <v>129100.305417084</v>
      </c>
      <c r="BA51" s="79">
        <v>135177</v>
      </c>
      <c r="BB51" s="79">
        <f>SUM(BB52:BB60)</f>
        <v>122749.035895236</v>
      </c>
      <c r="BC51" s="79">
        <f>SUM(BC52:BC60)</f>
        <v>6351.26952184736</v>
      </c>
      <c r="BD51" s="337">
        <f t="shared" si="1242"/>
        <v>5.1741909625001303e-002</v>
      </c>
      <c r="BG51" s="340"/>
    </row>
    <row r="52" ht="17" customHeight="1">
      <c r="A52" s="46">
        <v>26</v>
      </c>
      <c r="B52" s="82" t="s">
        <v>101</v>
      </c>
      <c r="C52" s="46" t="s">
        <v>78</v>
      </c>
      <c r="D52" s="46"/>
      <c r="E52" s="46"/>
      <c r="F52" s="46"/>
      <c r="G52" s="73">
        <v>11313</v>
      </c>
      <c r="H52" s="59">
        <f t="shared" si="1308"/>
        <v>6787.8000000000002</v>
      </c>
      <c r="I52" s="59">
        <f t="shared" si="1309"/>
        <v>6787.8000000000002</v>
      </c>
      <c r="J52" s="59">
        <f t="shared" si="1310"/>
        <v>0</v>
      </c>
      <c r="K52" s="59">
        <f t="shared" si="1311"/>
        <v>0</v>
      </c>
      <c r="L52" s="59">
        <f t="shared" si="1312"/>
        <v>0</v>
      </c>
      <c r="M52" s="59">
        <f t="shared" si="1313"/>
        <v>0</v>
      </c>
      <c r="N52" s="59">
        <v>1073</v>
      </c>
      <c r="O52" s="59">
        <v>618</v>
      </c>
      <c r="P52" s="59">
        <f t="shared" ref="P52:P60" si="1322">Q52*0.6+R52*0.8+S52*1+T52*1.25</f>
        <v>0</v>
      </c>
      <c r="Q52" s="59"/>
      <c r="R52" s="59"/>
      <c r="S52" s="59"/>
      <c r="T52" s="59"/>
      <c r="U52" s="59">
        <v>253</v>
      </c>
      <c r="V52" s="59">
        <f t="shared" ref="V52:V60" si="1323">H52/$H$9*(134866+26973)+N52/$N$9*202299+P52/$P$9*100000+U52/$U$9*34867</f>
        <v>494.021540837369</v>
      </c>
      <c r="W52" s="59">
        <v>12050.25</v>
      </c>
      <c r="X52" s="62">
        <f t="shared" ref="X52:X60" si="1324">($W$64-W52)/($W$64-$W$44)</f>
        <v>0.58226211953487295</v>
      </c>
      <c r="Y52" s="62">
        <f t="shared" ref="Y52:Y60" si="1325">(G52+N52)*X52/10000</f>
        <v>0.72118986125589402</v>
      </c>
      <c r="Z52" s="62">
        <f t="shared" si="1300"/>
        <v>0.14423797225117899</v>
      </c>
      <c r="AA52" s="59">
        <f t="shared" ref="AA52:AA60" si="1326">Z52/$Z$9*(1348663*0.1+30000)</f>
        <v>52.557718372947399</v>
      </c>
      <c r="AB52" s="59">
        <v>334.39999999999998</v>
      </c>
      <c r="AC52" s="59">
        <f t="shared" ref="AC52:AC60" si="1327">(AB52/$AB$9*1348663*0.037)</f>
        <v>23.493571166129598</v>
      </c>
      <c r="AD52" s="59"/>
      <c r="AE52" s="59"/>
      <c r="AF52" s="59">
        <v>69</v>
      </c>
      <c r="AG52" s="59">
        <f t="shared" si="1301"/>
        <v>34.5</v>
      </c>
      <c r="AH52" s="59">
        <f t="shared" si="1314"/>
        <v>393.92301538027402</v>
      </c>
      <c r="AI52" s="59">
        <v>1</v>
      </c>
      <c r="AJ52" s="59">
        <f t="shared" si="1302"/>
        <v>0.5</v>
      </c>
      <c r="AK52" s="59">
        <f t="shared" si="1315"/>
        <v>231.07355443062099</v>
      </c>
      <c r="AL52" s="338"/>
      <c r="AM52" s="59"/>
      <c r="AN52" s="59"/>
      <c r="AO52" s="59"/>
      <c r="AP52" s="59"/>
      <c r="AQ52" s="62">
        <v>86.739999999999995</v>
      </c>
      <c r="AR52" s="62" t="s">
        <v>442</v>
      </c>
      <c r="AS52" s="59">
        <v>300</v>
      </c>
      <c r="AT52" s="59" t="s">
        <v>443</v>
      </c>
      <c r="AU52" s="59"/>
      <c r="AV52" s="62">
        <v>14.2046046110404</v>
      </c>
      <c r="AW52" s="59">
        <f t="shared" si="1263"/>
        <v>362.90115229116401</v>
      </c>
      <c r="AX52" s="59">
        <v>28.9480962931157</v>
      </c>
      <c r="AY52" s="59"/>
      <c r="AZ52" s="59">
        <f t="shared" si="1316"/>
        <v>1857.9705524784999</v>
      </c>
      <c r="BA52" s="59">
        <v>2081</v>
      </c>
      <c r="BB52" s="59">
        <f t="shared" ref="BB52:BB60" si="1328">BA52/$BA$9*1348663</f>
        <v>1889.67608171499</v>
      </c>
      <c r="BC52" s="59">
        <f t="shared" ref="BC52:BC60" si="1329">AZ52-BB52</f>
        <v>-31.7055292364842</v>
      </c>
      <c r="BD52" s="43">
        <f t="shared" si="1242"/>
        <v>-1.6778287846936e-002</v>
      </c>
      <c r="BG52" s="340"/>
    </row>
    <row r="53" ht="17" customHeight="1">
      <c r="A53" s="46">
        <v>27</v>
      </c>
      <c r="B53" s="82" t="s">
        <v>108</v>
      </c>
      <c r="C53" s="46" t="s">
        <v>78</v>
      </c>
      <c r="D53" s="46"/>
      <c r="E53" s="46"/>
      <c r="F53" s="46"/>
      <c r="G53" s="73">
        <v>17582</v>
      </c>
      <c r="H53" s="59">
        <f t="shared" si="1308"/>
        <v>10549.200000000001</v>
      </c>
      <c r="I53" s="59">
        <f t="shared" si="1309"/>
        <v>10549.200000000001</v>
      </c>
      <c r="J53" s="59">
        <f t="shared" si="1310"/>
        <v>0</v>
      </c>
      <c r="K53" s="59">
        <f t="shared" si="1311"/>
        <v>0</v>
      </c>
      <c r="L53" s="59">
        <f t="shared" si="1312"/>
        <v>0</v>
      </c>
      <c r="M53" s="59">
        <f t="shared" si="1313"/>
        <v>0</v>
      </c>
      <c r="N53" s="59">
        <v>2680</v>
      </c>
      <c r="O53" s="59">
        <v>747</v>
      </c>
      <c r="P53" s="59">
        <f t="shared" si="1322"/>
        <v>0</v>
      </c>
      <c r="Q53" s="59"/>
      <c r="R53" s="59"/>
      <c r="S53" s="59"/>
      <c r="T53" s="59"/>
      <c r="U53" s="59">
        <v>351</v>
      </c>
      <c r="V53" s="59">
        <f t="shared" si="1323"/>
        <v>986.16466654395094</v>
      </c>
      <c r="W53" s="59">
        <v>11222.870000000001</v>
      </c>
      <c r="X53" s="62">
        <f t="shared" si="1324"/>
        <v>0.715774678797228</v>
      </c>
      <c r="Y53" s="62">
        <f t="shared" si="1325"/>
        <v>1.4503026541789401</v>
      </c>
      <c r="Z53" s="62">
        <f t="shared" si="1300"/>
        <v>0.29006053083578898</v>
      </c>
      <c r="AA53" s="59">
        <f t="shared" si="1326"/>
        <v>105.692831456527</v>
      </c>
      <c r="AB53" s="59">
        <v>1544.5999999999999</v>
      </c>
      <c r="AC53" s="59">
        <f t="shared" si="1327"/>
        <v>108.517254854078</v>
      </c>
      <c r="AD53" s="59"/>
      <c r="AE53" s="59"/>
      <c r="AF53" s="59">
        <v>30</v>
      </c>
      <c r="AG53" s="59">
        <f t="shared" si="1301"/>
        <v>15</v>
      </c>
      <c r="AH53" s="59">
        <f t="shared" si="1314"/>
        <v>171.27087625229299</v>
      </c>
      <c r="AI53" s="59">
        <v>1</v>
      </c>
      <c r="AJ53" s="59">
        <f t="shared" si="1302"/>
        <v>0.5</v>
      </c>
      <c r="AK53" s="59">
        <f t="shared" si="1315"/>
        <v>231.07355443062099</v>
      </c>
      <c r="AL53" s="338"/>
      <c r="AM53" s="59"/>
      <c r="AN53" s="59">
        <v>1</v>
      </c>
      <c r="AO53" s="59">
        <f t="shared" ref="AO53:AO60" si="1330">AN53*600</f>
        <v>600</v>
      </c>
      <c r="AP53" s="59"/>
      <c r="AQ53" s="62">
        <v>82.109999999999999</v>
      </c>
      <c r="AR53" s="62" t="s">
        <v>442</v>
      </c>
      <c r="AS53" s="59">
        <v>300</v>
      </c>
      <c r="AT53" s="59" t="s">
        <v>443</v>
      </c>
      <c r="AU53" s="59"/>
      <c r="AV53" s="62">
        <v>14.5525867894213</v>
      </c>
      <c r="AW53" s="59">
        <f t="shared" si="1263"/>
        <v>371.79144786567502</v>
      </c>
      <c r="AX53" s="59">
        <v>2336.89792862491</v>
      </c>
      <c r="AY53" s="59"/>
      <c r="AZ53" s="59">
        <f t="shared" si="1316"/>
        <v>2874.51063140314</v>
      </c>
      <c r="BA53" s="59">
        <v>2301</v>
      </c>
      <c r="BB53" s="59">
        <f t="shared" si="1328"/>
        <v>2089.4496223095598</v>
      </c>
      <c r="BC53" s="59">
        <f t="shared" si="1329"/>
        <v>785.06100909358702</v>
      </c>
      <c r="BD53" s="43">
        <f t="shared" si="1242"/>
        <v>0.37572622029806402</v>
      </c>
      <c r="BG53" s="340"/>
    </row>
    <row r="54" ht="17" customHeight="1">
      <c r="A54" s="46">
        <v>28</v>
      </c>
      <c r="B54" s="82" t="s">
        <v>102</v>
      </c>
      <c r="C54" s="46" t="s">
        <v>78</v>
      </c>
      <c r="D54" s="46"/>
      <c r="E54" s="46"/>
      <c r="F54" s="46"/>
      <c r="G54" s="73">
        <v>15759</v>
      </c>
      <c r="H54" s="59">
        <f t="shared" si="1308"/>
        <v>9455.3999999999996</v>
      </c>
      <c r="I54" s="59">
        <f t="shared" si="1309"/>
        <v>9455.3999999999996</v>
      </c>
      <c r="J54" s="59">
        <f t="shared" si="1310"/>
        <v>0</v>
      </c>
      <c r="K54" s="59">
        <f t="shared" si="1311"/>
        <v>0</v>
      </c>
      <c r="L54" s="59">
        <f t="shared" si="1312"/>
        <v>0</v>
      </c>
      <c r="M54" s="59">
        <f t="shared" si="1313"/>
        <v>0</v>
      </c>
      <c r="N54" s="59">
        <v>1010</v>
      </c>
      <c r="O54" s="59">
        <v>784</v>
      </c>
      <c r="P54" s="59">
        <f t="shared" si="1322"/>
        <v>0</v>
      </c>
      <c r="Q54" s="59"/>
      <c r="R54" s="59"/>
      <c r="S54" s="59"/>
      <c r="T54" s="59"/>
      <c r="U54" s="59">
        <v>442</v>
      </c>
      <c r="V54" s="59">
        <f t="shared" si="1323"/>
        <v>600.02060092170996</v>
      </c>
      <c r="W54" s="59">
        <v>11895.860000000001</v>
      </c>
      <c r="X54" s="62">
        <f t="shared" si="1324"/>
        <v>0.60717570703338097</v>
      </c>
      <c r="Y54" s="62">
        <f t="shared" si="1325"/>
        <v>1.0181729431242801</v>
      </c>
      <c r="Z54" s="62">
        <f t="shared" si="1300"/>
        <v>0.20363458862485501</v>
      </c>
      <c r="AA54" s="59">
        <f t="shared" si="1326"/>
        <v>74.200775238981294</v>
      </c>
      <c r="AB54" s="59">
        <v>705.5</v>
      </c>
      <c r="AC54" s="59">
        <f t="shared" si="1327"/>
        <v>49.565533665384102</v>
      </c>
      <c r="AD54" s="59"/>
      <c r="AE54" s="59"/>
      <c r="AF54" s="59">
        <v>36</v>
      </c>
      <c r="AG54" s="59">
        <f t="shared" si="1301"/>
        <v>18</v>
      </c>
      <c r="AH54" s="59">
        <f t="shared" si="1314"/>
        <v>205.52505150275101</v>
      </c>
      <c r="AI54" s="59">
        <v>1</v>
      </c>
      <c r="AJ54" s="59">
        <f t="shared" si="1302"/>
        <v>0.5</v>
      </c>
      <c r="AK54" s="59">
        <f t="shared" si="1315"/>
        <v>231.07355443062099</v>
      </c>
      <c r="AL54" s="338"/>
      <c r="AM54" s="59"/>
      <c r="AN54" s="59">
        <v>1</v>
      </c>
      <c r="AO54" s="59">
        <f t="shared" si="1330"/>
        <v>600</v>
      </c>
      <c r="AP54" s="59"/>
      <c r="AQ54" s="62">
        <v>67.920000000000002</v>
      </c>
      <c r="AR54" s="62" t="s">
        <v>440</v>
      </c>
      <c r="AS54" s="59"/>
      <c r="AT54" s="59" t="s">
        <v>441</v>
      </c>
      <c r="AU54" s="59">
        <v>300</v>
      </c>
      <c r="AV54" s="62">
        <v>8.1505626084437299</v>
      </c>
      <c r="AW54" s="59">
        <f t="shared" si="1263"/>
        <v>208.23167158954499</v>
      </c>
      <c r="AX54" s="59">
        <v>67.414189089005205</v>
      </c>
      <c r="AY54" s="59"/>
      <c r="AZ54" s="59">
        <f t="shared" si="1316"/>
        <v>2268.6171873489898</v>
      </c>
      <c r="BA54" s="59">
        <v>1841</v>
      </c>
      <c r="BB54" s="59">
        <f t="shared" si="1328"/>
        <v>1671.7413101572799</v>
      </c>
      <c r="BC54" s="59">
        <f t="shared" si="1329"/>
        <v>596.87587719171597</v>
      </c>
      <c r="BD54" s="43">
        <f t="shared" si="1242"/>
        <v>0.35703842069653802</v>
      </c>
      <c r="BG54" s="340"/>
    </row>
    <row r="55" ht="17" customHeight="1">
      <c r="A55" s="46">
        <v>29</v>
      </c>
      <c r="B55" s="82" t="s">
        <v>109</v>
      </c>
      <c r="C55" s="46" t="s">
        <v>93</v>
      </c>
      <c r="D55" s="46">
        <v>2019</v>
      </c>
      <c r="E55" s="46" t="s">
        <v>94</v>
      </c>
      <c r="F55" s="46"/>
      <c r="G55" s="73">
        <v>150030</v>
      </c>
      <c r="H55" s="59">
        <f t="shared" si="1308"/>
        <v>135027</v>
      </c>
      <c r="I55" s="59">
        <f t="shared" si="1309"/>
        <v>0</v>
      </c>
      <c r="J55" s="59">
        <f t="shared" si="1310"/>
        <v>0</v>
      </c>
      <c r="K55" s="59">
        <f t="shared" si="1311"/>
        <v>0</v>
      </c>
      <c r="L55" s="59">
        <f t="shared" si="1312"/>
        <v>135027</v>
      </c>
      <c r="M55" s="59">
        <f t="shared" si="1313"/>
        <v>0</v>
      </c>
      <c r="N55" s="59">
        <v>20995</v>
      </c>
      <c r="O55" s="59">
        <v>51303</v>
      </c>
      <c r="P55" s="59">
        <f t="shared" si="1322"/>
        <v>18185.400000000001</v>
      </c>
      <c r="Q55" s="59">
        <v>9484</v>
      </c>
      <c r="R55" s="59"/>
      <c r="S55" s="59">
        <v>12495</v>
      </c>
      <c r="T55" s="59"/>
      <c r="U55" s="59">
        <v>3216</v>
      </c>
      <c r="V55" s="59">
        <f t="shared" si="1323"/>
        <v>13327.7320460802</v>
      </c>
      <c r="W55" s="59">
        <v>11910.17</v>
      </c>
      <c r="X55" s="62">
        <f t="shared" si="1324"/>
        <v>0.60486653262374501</v>
      </c>
      <c r="Y55" s="62">
        <f t="shared" si="1325"/>
        <v>10.344729874197601</v>
      </c>
      <c r="Z55" s="62">
        <f t="shared" ref="Z55:Z60" si="1331">Y55*1</f>
        <v>10.344729874197601</v>
      </c>
      <c r="AA55" s="59">
        <f t="shared" si="1326"/>
        <v>3769.43318660562</v>
      </c>
      <c r="AB55" s="59">
        <v>11507.85</v>
      </c>
      <c r="AC55" s="59">
        <f t="shared" si="1327"/>
        <v>808.49429708177195</v>
      </c>
      <c r="AD55" s="59"/>
      <c r="AE55" s="59"/>
      <c r="AF55" s="59">
        <v>91</v>
      </c>
      <c r="AG55" s="59">
        <f t="shared" ref="AG55:AG58" si="1332">AF55</f>
        <v>91</v>
      </c>
      <c r="AH55" s="59">
        <f t="shared" si="1314"/>
        <v>1039.0433159305801</v>
      </c>
      <c r="AI55" s="59">
        <v>1</v>
      </c>
      <c r="AJ55" s="59">
        <f t="shared" ref="AJ55:AJ58" si="1333">AI55</f>
        <v>1</v>
      </c>
      <c r="AK55" s="59">
        <f t="shared" si="1315"/>
        <v>462.147108861243</v>
      </c>
      <c r="AL55" s="338" t="s">
        <v>1544</v>
      </c>
      <c r="AM55" s="59">
        <v>100</v>
      </c>
      <c r="AN55" s="59">
        <v>3</v>
      </c>
      <c r="AO55" s="59">
        <f t="shared" si="1330"/>
        <v>1800</v>
      </c>
      <c r="AP55" s="59">
        <f>5000+BF55+N55/470414*13615</f>
        <v>5935.5797255833004</v>
      </c>
      <c r="AQ55" s="62">
        <v>63.25</v>
      </c>
      <c r="AR55" s="62" t="s">
        <v>440</v>
      </c>
      <c r="AS55" s="59"/>
      <c r="AT55" s="59" t="s">
        <v>441</v>
      </c>
      <c r="AU55" s="59">
        <v>800</v>
      </c>
      <c r="AV55" s="62">
        <v>9.1535210951949697</v>
      </c>
      <c r="AW55" s="59">
        <f t="shared" si="1263"/>
        <v>233.85539013073799</v>
      </c>
      <c r="AX55" s="59">
        <v>1984.5769902670299</v>
      </c>
      <c r="AY55" s="59"/>
      <c r="AZ55" s="59">
        <f t="shared" si="1316"/>
        <v>28276.285070273399</v>
      </c>
      <c r="BA55" s="59">
        <v>30470</v>
      </c>
      <c r="BB55" s="59">
        <f t="shared" si="1328"/>
        <v>27668.635372347799</v>
      </c>
      <c r="BC55" s="59">
        <f t="shared" si="1329"/>
        <v>607.649697925655</v>
      </c>
      <c r="BD55" s="43">
        <f t="shared" si="1242"/>
        <v>2.1961679343714399e-002</v>
      </c>
      <c r="BF55" s="341">
        <v>327.93002765763998</v>
      </c>
      <c r="BG55" s="339"/>
    </row>
    <row r="56" ht="17" customHeight="1">
      <c r="A56" s="46">
        <v>30</v>
      </c>
      <c r="B56" s="82" t="s">
        <v>106</v>
      </c>
      <c r="C56" s="46" t="s">
        <v>90</v>
      </c>
      <c r="D56" s="46">
        <v>2018</v>
      </c>
      <c r="E56" s="46" t="s">
        <v>91</v>
      </c>
      <c r="F56" s="46"/>
      <c r="G56" s="73">
        <v>96295</v>
      </c>
      <c r="H56" s="59">
        <f t="shared" si="1308"/>
        <v>77036</v>
      </c>
      <c r="I56" s="59">
        <f t="shared" si="1309"/>
        <v>0</v>
      </c>
      <c r="J56" s="59">
        <f t="shared" si="1310"/>
        <v>0</v>
      </c>
      <c r="K56" s="59">
        <f t="shared" si="1311"/>
        <v>77036</v>
      </c>
      <c r="L56" s="59">
        <f t="shared" si="1312"/>
        <v>0</v>
      </c>
      <c r="M56" s="59">
        <f t="shared" si="1313"/>
        <v>0</v>
      </c>
      <c r="N56" s="59">
        <v>9996</v>
      </c>
      <c r="O56" s="59">
        <v>5894</v>
      </c>
      <c r="P56" s="59">
        <f t="shared" si="1322"/>
        <v>619.79999999999995</v>
      </c>
      <c r="Q56" s="59">
        <v>1033</v>
      </c>
      <c r="R56" s="59"/>
      <c r="S56" s="59"/>
      <c r="T56" s="59"/>
      <c r="U56" s="59">
        <v>1863</v>
      </c>
      <c r="V56" s="59">
        <f t="shared" si="1323"/>
        <v>5012.8650629158501</v>
      </c>
      <c r="W56" s="59">
        <v>11878.639999999999</v>
      </c>
      <c r="X56" s="62">
        <f t="shared" si="1324"/>
        <v>0.60995446198334102</v>
      </c>
      <c r="Y56" s="62">
        <f t="shared" si="1325"/>
        <v>6.4832669718671303</v>
      </c>
      <c r="Z56" s="62">
        <f t="shared" si="1331"/>
        <v>6.4832669718671303</v>
      </c>
      <c r="AA56" s="59">
        <f t="shared" si="1326"/>
        <v>2362.3856764336801</v>
      </c>
      <c r="AB56" s="59">
        <v>4509.8000000000002</v>
      </c>
      <c r="AC56" s="59">
        <f t="shared" si="1327"/>
        <v>316.84003362742601</v>
      </c>
      <c r="AD56" s="59"/>
      <c r="AE56" s="59"/>
      <c r="AF56" s="59">
        <v>40</v>
      </c>
      <c r="AG56" s="59">
        <f t="shared" si="1332"/>
        <v>40</v>
      </c>
      <c r="AH56" s="59">
        <f t="shared" si="1314"/>
        <v>456.72233667278101</v>
      </c>
      <c r="AI56" s="59">
        <v>1</v>
      </c>
      <c r="AJ56" s="59">
        <f t="shared" si="1333"/>
        <v>1</v>
      </c>
      <c r="AK56" s="59">
        <f t="shared" si="1315"/>
        <v>462.147108861243</v>
      </c>
      <c r="AL56" s="338" t="s">
        <v>1544</v>
      </c>
      <c r="AM56" s="59">
        <v>100</v>
      </c>
      <c r="AN56" s="59">
        <v>2</v>
      </c>
      <c r="AO56" s="59">
        <f t="shared" si="1330"/>
        <v>1200</v>
      </c>
      <c r="AP56" s="59"/>
      <c r="AQ56" s="62">
        <v>60.960000000000001</v>
      </c>
      <c r="AR56" s="62" t="s">
        <v>440</v>
      </c>
      <c r="AS56" s="59"/>
      <c r="AT56" s="59" t="s">
        <v>443</v>
      </c>
      <c r="AU56" s="59"/>
      <c r="AV56" s="62">
        <v>15.347668903212</v>
      </c>
      <c r="AW56" s="59">
        <f t="shared" si="1263"/>
        <v>392.10431282472399</v>
      </c>
      <c r="AX56" s="59">
        <v>32.8235047939514</v>
      </c>
      <c r="AY56" s="59"/>
      <c r="AZ56" s="59">
        <f t="shared" si="1316"/>
        <v>10303.0645313357</v>
      </c>
      <c r="BA56" s="59">
        <v>11703</v>
      </c>
      <c r="BB56" s="59">
        <f t="shared" si="1328"/>
        <v>10627.044298082899</v>
      </c>
      <c r="BC56" s="59">
        <f t="shared" si="1329"/>
        <v>-323.97976674718501</v>
      </c>
      <c r="BD56" s="43">
        <f t="shared" si="1242"/>
        <v>-3.04863476296632e-002</v>
      </c>
      <c r="BG56" s="340"/>
    </row>
    <row r="57" ht="17" customHeight="1">
      <c r="A57" s="46">
        <v>31</v>
      </c>
      <c r="B57" s="82" t="s">
        <v>105</v>
      </c>
      <c r="C57" s="46" t="s">
        <v>90</v>
      </c>
      <c r="D57" s="46">
        <v>2017</v>
      </c>
      <c r="E57" s="46"/>
      <c r="F57" s="46"/>
      <c r="G57" s="73">
        <v>36640</v>
      </c>
      <c r="H57" s="59">
        <f t="shared" si="1308"/>
        <v>25648</v>
      </c>
      <c r="I57" s="59">
        <f t="shared" si="1309"/>
        <v>0</v>
      </c>
      <c r="J57" s="59">
        <f t="shared" si="1310"/>
        <v>25648</v>
      </c>
      <c r="K57" s="59">
        <f t="shared" si="1311"/>
        <v>0</v>
      </c>
      <c r="L57" s="59">
        <f t="shared" si="1312"/>
        <v>0</v>
      </c>
      <c r="M57" s="59">
        <f t="shared" si="1313"/>
        <v>0</v>
      </c>
      <c r="N57" s="59">
        <v>5851</v>
      </c>
      <c r="O57" s="59">
        <v>4424</v>
      </c>
      <c r="P57" s="59">
        <f t="shared" si="1322"/>
        <v>0</v>
      </c>
      <c r="Q57" s="59"/>
      <c r="R57" s="59"/>
      <c r="S57" s="59"/>
      <c r="T57" s="59"/>
      <c r="U57" s="59">
        <v>0</v>
      </c>
      <c r="V57" s="59">
        <f t="shared" si="1323"/>
        <v>2045.9177129069899</v>
      </c>
      <c r="W57" s="59">
        <v>12298.75</v>
      </c>
      <c r="X57" s="62">
        <f t="shared" si="1324"/>
        <v>0.54216220054155095</v>
      </c>
      <c r="Y57" s="62">
        <f t="shared" si="1325"/>
        <v>2.3037014063211001</v>
      </c>
      <c r="Z57" s="62">
        <f t="shared" ref="Z57:Z58" si="1334">Y57*0.5</f>
        <v>1.15185070316055</v>
      </c>
      <c r="AA57" s="59">
        <f t="shared" si="1326"/>
        <v>419.71364349861102</v>
      </c>
      <c r="AB57" s="59">
        <v>4259.4390000000003</v>
      </c>
      <c r="AC57" s="59">
        <f t="shared" si="1327"/>
        <v>299.25069759057402</v>
      </c>
      <c r="AD57" s="59"/>
      <c r="AE57" s="59"/>
      <c r="AF57" s="59">
        <v>34</v>
      </c>
      <c r="AG57" s="59">
        <f t="shared" si="1332"/>
        <v>34</v>
      </c>
      <c r="AH57" s="59">
        <f t="shared" si="1314"/>
        <v>388.21398617186401</v>
      </c>
      <c r="AI57" s="59">
        <v>1</v>
      </c>
      <c r="AJ57" s="59">
        <f t="shared" si="1333"/>
        <v>1</v>
      </c>
      <c r="AK57" s="59">
        <f t="shared" si="1315"/>
        <v>462.147108861243</v>
      </c>
      <c r="AL57" s="338" t="s">
        <v>1544</v>
      </c>
      <c r="AM57" s="59">
        <v>100</v>
      </c>
      <c r="AN57" s="59">
        <v>1</v>
      </c>
      <c r="AO57" s="59">
        <f t="shared" si="1330"/>
        <v>600</v>
      </c>
      <c r="AP57" s="59"/>
      <c r="AQ57" s="62">
        <v>65.670000000000002</v>
      </c>
      <c r="AR57" s="62" t="s">
        <v>440</v>
      </c>
      <c r="AS57" s="59"/>
      <c r="AT57" s="59" t="s">
        <v>443</v>
      </c>
      <c r="AU57" s="59"/>
      <c r="AV57" s="62">
        <v>0.16984391542812</v>
      </c>
      <c r="AW57" s="59">
        <f t="shared" si="1263"/>
        <v>4.3391952332556496</v>
      </c>
      <c r="AX57" s="59">
        <v>24.8628672629889</v>
      </c>
      <c r="AY57" s="59"/>
      <c r="AZ57" s="59">
        <f t="shared" si="1316"/>
        <v>4319.5823442625397</v>
      </c>
      <c r="BA57" s="59">
        <v>3568</v>
      </c>
      <c r="BB57" s="59">
        <f t="shared" si="1328"/>
        <v>3239.9636038246399</v>
      </c>
      <c r="BC57" s="59">
        <f t="shared" si="1329"/>
        <v>1079.6187404379</v>
      </c>
      <c r="BD57" s="43">
        <f t="shared" si="1242"/>
        <v>0.33321940381165099</v>
      </c>
      <c r="BG57" s="340"/>
    </row>
    <row r="58" ht="17" customHeight="1">
      <c r="A58" s="46">
        <v>32</v>
      </c>
      <c r="B58" s="82" t="s">
        <v>104</v>
      </c>
      <c r="C58" s="46" t="s">
        <v>90</v>
      </c>
      <c r="D58" s="46">
        <v>2018</v>
      </c>
      <c r="E58" s="46"/>
      <c r="F58" s="46"/>
      <c r="G58" s="73">
        <v>64465</v>
      </c>
      <c r="H58" s="59">
        <f t="shared" si="1308"/>
        <v>51572</v>
      </c>
      <c r="I58" s="59">
        <f t="shared" si="1309"/>
        <v>0</v>
      </c>
      <c r="J58" s="59">
        <f t="shared" si="1310"/>
        <v>0</v>
      </c>
      <c r="K58" s="59">
        <f t="shared" si="1311"/>
        <v>51572</v>
      </c>
      <c r="L58" s="59">
        <f t="shared" si="1312"/>
        <v>0</v>
      </c>
      <c r="M58" s="59">
        <f t="shared" si="1313"/>
        <v>0</v>
      </c>
      <c r="N58" s="59">
        <v>5895</v>
      </c>
      <c r="O58" s="59">
        <v>5692</v>
      </c>
      <c r="P58" s="59">
        <f t="shared" si="1322"/>
        <v>552.60000000000002</v>
      </c>
      <c r="Q58" s="59">
        <v>921</v>
      </c>
      <c r="R58" s="59"/>
      <c r="S58" s="59"/>
      <c r="T58" s="59"/>
      <c r="U58" s="59">
        <v>1538</v>
      </c>
      <c r="V58" s="59">
        <f t="shared" si="1323"/>
        <v>3275.2408901250901</v>
      </c>
      <c r="W58" s="59">
        <v>10774.389999999999</v>
      </c>
      <c r="X58" s="62">
        <f t="shared" si="1324"/>
        <v>0.78814494708747096</v>
      </c>
      <c r="Y58" s="62">
        <f t="shared" si="1325"/>
        <v>5.5453878477074499</v>
      </c>
      <c r="Z58" s="62">
        <f t="shared" si="1334"/>
        <v>2.77269392385372</v>
      </c>
      <c r="AA58" s="59">
        <f t="shared" si="1326"/>
        <v>1010.31971061348</v>
      </c>
      <c r="AB58" s="59">
        <v>2897.6900000000001</v>
      </c>
      <c r="AC58" s="59">
        <f t="shared" si="1327"/>
        <v>203.579803326502</v>
      </c>
      <c r="AD58" s="59"/>
      <c r="AE58" s="59"/>
      <c r="AF58" s="59">
        <v>17</v>
      </c>
      <c r="AG58" s="59">
        <f t="shared" si="1332"/>
        <v>17</v>
      </c>
      <c r="AH58" s="59">
        <f t="shared" si="1314"/>
        <v>194.106993085932</v>
      </c>
      <c r="AI58" s="59">
        <v>1</v>
      </c>
      <c r="AJ58" s="59">
        <f t="shared" si="1333"/>
        <v>1</v>
      </c>
      <c r="AK58" s="59">
        <f t="shared" si="1315"/>
        <v>462.147108861243</v>
      </c>
      <c r="AL58" s="338"/>
      <c r="AM58" s="59"/>
      <c r="AN58" s="59">
        <v>1</v>
      </c>
      <c r="AO58" s="59">
        <f t="shared" si="1330"/>
        <v>600</v>
      </c>
      <c r="AP58" s="59"/>
      <c r="AQ58" s="62">
        <v>60.880000000000003</v>
      </c>
      <c r="AR58" s="62" t="s">
        <v>440</v>
      </c>
      <c r="AS58" s="59"/>
      <c r="AT58" s="59" t="s">
        <v>441</v>
      </c>
      <c r="AU58" s="59">
        <v>800</v>
      </c>
      <c r="AV58" s="62">
        <v>5.9156498864097902</v>
      </c>
      <c r="AW58" s="59">
        <f t="shared" si="1263"/>
        <v>151.13382027266201</v>
      </c>
      <c r="AX58" s="59">
        <v>0</v>
      </c>
      <c r="AY58" s="59"/>
      <c r="AZ58" s="59">
        <f t="shared" si="1316"/>
        <v>6696.5283262849098</v>
      </c>
      <c r="BA58" s="59">
        <v>6473</v>
      </c>
      <c r="BB58" s="59">
        <f t="shared" si="1328"/>
        <v>5877.8824012211098</v>
      </c>
      <c r="BC58" s="59">
        <f t="shared" si="1329"/>
        <v>818.64592506380097</v>
      </c>
      <c r="BD58" s="43">
        <f t="shared" si="1242"/>
        <v>0.139275655615997</v>
      </c>
      <c r="BG58" s="340"/>
    </row>
    <row r="59" ht="17" customHeight="1">
      <c r="A59" s="46">
        <v>33</v>
      </c>
      <c r="B59" s="82" t="s">
        <v>103</v>
      </c>
      <c r="C59" s="46" t="s">
        <v>78</v>
      </c>
      <c r="D59" s="46"/>
      <c r="E59" s="46"/>
      <c r="F59" s="46"/>
      <c r="G59" s="73">
        <v>33845</v>
      </c>
      <c r="H59" s="59">
        <f t="shared" si="1308"/>
        <v>20307</v>
      </c>
      <c r="I59" s="59">
        <f t="shared" si="1309"/>
        <v>20307</v>
      </c>
      <c r="J59" s="59">
        <f t="shared" si="1310"/>
        <v>0</v>
      </c>
      <c r="K59" s="59">
        <f t="shared" si="1311"/>
        <v>0</v>
      </c>
      <c r="L59" s="59">
        <f t="shared" si="1312"/>
        <v>0</v>
      </c>
      <c r="M59" s="59">
        <f t="shared" si="1313"/>
        <v>0</v>
      </c>
      <c r="N59" s="59">
        <v>8035</v>
      </c>
      <c r="O59" s="59">
        <v>3734</v>
      </c>
      <c r="P59" s="59">
        <f t="shared" si="1322"/>
        <v>0</v>
      </c>
      <c r="Q59" s="59"/>
      <c r="R59" s="59"/>
      <c r="S59" s="59"/>
      <c r="T59" s="59"/>
      <c r="U59" s="59">
        <v>988</v>
      </c>
      <c r="V59" s="59">
        <f t="shared" si="1323"/>
        <v>2620.92395710352</v>
      </c>
      <c r="W59" s="59">
        <v>11453.129999999999</v>
      </c>
      <c r="X59" s="62">
        <f t="shared" si="1324"/>
        <v>0.67861810999480399</v>
      </c>
      <c r="Y59" s="62">
        <f t="shared" si="1325"/>
        <v>2.8420526446582399</v>
      </c>
      <c r="Z59" s="62">
        <f>Y59*0.2</f>
        <v>0.56841052893164801</v>
      </c>
      <c r="AA59" s="59">
        <f t="shared" si="1326"/>
        <v>207.11855576965399</v>
      </c>
      <c r="AB59" s="59">
        <v>2938.3099999999999</v>
      </c>
      <c r="AC59" s="59">
        <f t="shared" si="1327"/>
        <v>206.43359776659801</v>
      </c>
      <c r="AD59" s="59"/>
      <c r="AE59" s="59"/>
      <c r="AF59" s="59">
        <v>25</v>
      </c>
      <c r="AG59" s="59">
        <f>AF59*0.5</f>
        <v>12.5</v>
      </c>
      <c r="AH59" s="59">
        <f t="shared" si="1314"/>
        <v>142.725730210244</v>
      </c>
      <c r="AI59" s="59">
        <v>1</v>
      </c>
      <c r="AJ59" s="59">
        <f>AI59*0.5</f>
        <v>0.5</v>
      </c>
      <c r="AK59" s="59">
        <f t="shared" si="1315"/>
        <v>231.07355443062099</v>
      </c>
      <c r="AL59" s="338" t="s">
        <v>1544</v>
      </c>
      <c r="AM59" s="59">
        <v>100</v>
      </c>
      <c r="AN59" s="59">
        <v>1</v>
      </c>
      <c r="AO59" s="59">
        <f t="shared" si="1330"/>
        <v>600</v>
      </c>
      <c r="AP59" s="59"/>
      <c r="AQ59" s="62">
        <v>80.390000000000001</v>
      </c>
      <c r="AR59" s="62" t="s">
        <v>442</v>
      </c>
      <c r="AS59" s="59">
        <v>300</v>
      </c>
      <c r="AT59" s="59" t="s">
        <v>441</v>
      </c>
      <c r="AU59" s="59">
        <v>300</v>
      </c>
      <c r="AV59" s="62">
        <v>13.534896480696201</v>
      </c>
      <c r="AW59" s="59">
        <f t="shared" si="1263"/>
        <v>345.79135875197801</v>
      </c>
      <c r="AX59" s="59">
        <v>2072.5043673571199</v>
      </c>
      <c r="AY59" s="59"/>
      <c r="AZ59" s="59">
        <f t="shared" si="1316"/>
        <v>5054.0667540326203</v>
      </c>
      <c r="BA59" s="59">
        <v>3691</v>
      </c>
      <c r="BB59" s="59">
        <f t="shared" si="1328"/>
        <v>3351.6551742479701</v>
      </c>
      <c r="BC59" s="59">
        <f t="shared" si="1329"/>
        <v>1702.41157978465</v>
      </c>
      <c r="BD59" s="43">
        <f t="shared" si="1242"/>
        <v>0.50793160133683202</v>
      </c>
      <c r="BG59" s="340"/>
    </row>
    <row r="60" s="5" customFormat="1" ht="17" customHeight="1">
      <c r="A60" s="46">
        <v>34</v>
      </c>
      <c r="B60" s="82" t="s">
        <v>107</v>
      </c>
      <c r="C60" s="46" t="s">
        <v>93</v>
      </c>
      <c r="D60" s="46">
        <v>2020</v>
      </c>
      <c r="E60" s="46" t="s">
        <v>94</v>
      </c>
      <c r="F60" s="46"/>
      <c r="G60" s="73">
        <v>314717</v>
      </c>
      <c r="H60" s="59">
        <f t="shared" si="1308"/>
        <v>314717</v>
      </c>
      <c r="I60" s="59">
        <f t="shared" si="1309"/>
        <v>0</v>
      </c>
      <c r="J60" s="59">
        <f t="shared" si="1310"/>
        <v>0</v>
      </c>
      <c r="K60" s="59">
        <f t="shared" si="1311"/>
        <v>0</v>
      </c>
      <c r="L60" s="59">
        <f t="shared" si="1312"/>
        <v>0</v>
      </c>
      <c r="M60" s="59">
        <f t="shared" si="1313"/>
        <v>314717</v>
      </c>
      <c r="N60" s="59">
        <v>38583</v>
      </c>
      <c r="O60" s="59">
        <v>83627</v>
      </c>
      <c r="P60" s="59">
        <f t="shared" si="1322"/>
        <v>65885.600000000006</v>
      </c>
      <c r="Q60" s="59">
        <v>5196</v>
      </c>
      <c r="R60" s="59"/>
      <c r="S60" s="59">
        <v>62768</v>
      </c>
      <c r="T60" s="59"/>
      <c r="U60" s="59">
        <v>5229</v>
      </c>
      <c r="V60" s="59">
        <f t="shared" si="1323"/>
        <v>33373.300866787496</v>
      </c>
      <c r="W60" s="59">
        <v>9862.1700000000001</v>
      </c>
      <c r="X60" s="62">
        <f t="shared" si="1324"/>
        <v>0.93534795756670197</v>
      </c>
      <c r="Y60" s="62">
        <f t="shared" si="1325"/>
        <v>33.045843340831603</v>
      </c>
      <c r="Z60" s="62">
        <f t="shared" si="1331"/>
        <v>33.045843340831603</v>
      </c>
      <c r="AA60" s="59">
        <f t="shared" si="1326"/>
        <v>12041.309931059201</v>
      </c>
      <c r="AB60" s="59">
        <v>19899.93</v>
      </c>
      <c r="AC60" s="59">
        <f t="shared" si="1327"/>
        <v>1398.0873853349201</v>
      </c>
      <c r="AD60" s="59"/>
      <c r="AE60" s="59"/>
      <c r="AF60" s="59">
        <v>69</v>
      </c>
      <c r="AG60" s="59">
        <f>AF60</f>
        <v>69</v>
      </c>
      <c r="AH60" s="59">
        <f t="shared" si="1314"/>
        <v>787.84603076054702</v>
      </c>
      <c r="AI60" s="59">
        <v>1</v>
      </c>
      <c r="AJ60" s="59">
        <f>AI60</f>
        <v>1</v>
      </c>
      <c r="AK60" s="59">
        <f t="shared" si="1315"/>
        <v>462.147108861243</v>
      </c>
      <c r="AL60" s="338" t="s">
        <v>1544</v>
      </c>
      <c r="AM60" s="59">
        <v>100</v>
      </c>
      <c r="AN60" s="59">
        <v>2</v>
      </c>
      <c r="AO60" s="59">
        <f t="shared" si="1330"/>
        <v>1200</v>
      </c>
      <c r="AP60" s="59">
        <f>5000+BF60+N60/470414*13615</f>
        <v>17614.1048824424</v>
      </c>
      <c r="AQ60" s="62">
        <v>78.069999999999993</v>
      </c>
      <c r="AR60" s="62" t="s">
        <v>440</v>
      </c>
      <c r="AS60" s="59"/>
      <c r="AT60" s="59" t="s">
        <v>443</v>
      </c>
      <c r="AU60" s="59"/>
      <c r="AV60" s="62">
        <v>18.509524062850598</v>
      </c>
      <c r="AW60" s="59">
        <f t="shared" si="1263"/>
        <v>472.88381441808502</v>
      </c>
      <c r="AX60" s="59">
        <v>78.736894124586598</v>
      </c>
      <c r="AY60" s="59"/>
      <c r="AZ60" s="59">
        <f t="shared" si="1316"/>
        <v>67449.680019663996</v>
      </c>
      <c r="BA60" s="59">
        <v>73049</v>
      </c>
      <c r="BB60" s="59">
        <f t="shared" si="1328"/>
        <v>66332.988031330198</v>
      </c>
      <c r="BC60" s="59">
        <f t="shared" si="1329"/>
        <v>1116.69198833373</v>
      </c>
      <c r="BD60" s="43">
        <f t="shared" si="1242"/>
        <v>1.68346402216389e-002</v>
      </c>
      <c r="BF60" s="341">
        <v>11497.4128941087</v>
      </c>
      <c r="BG60" s="339"/>
    </row>
    <row r="61" s="5" customFormat="1" ht="17" customHeight="1">
      <c r="A61" s="65"/>
      <c r="B61" s="66" t="s">
        <v>110</v>
      </c>
      <c r="C61" s="67">
        <v>1</v>
      </c>
      <c r="D61" s="67"/>
      <c r="E61" s="67"/>
      <c r="F61" s="68"/>
      <c r="G61" s="69">
        <f t="shared" ref="G61:P61" si="1335">G62+G63</f>
        <v>85777</v>
      </c>
      <c r="H61" s="69">
        <f t="shared" si="1335"/>
        <v>51466.199999999997</v>
      </c>
      <c r="I61" s="69">
        <f t="shared" si="1335"/>
        <v>51466.199999999997</v>
      </c>
      <c r="J61" s="69">
        <f t="shared" si="1335"/>
        <v>0</v>
      </c>
      <c r="K61" s="69">
        <f t="shared" si="1335"/>
        <v>0</v>
      </c>
      <c r="L61" s="69">
        <f t="shared" si="1335"/>
        <v>0</v>
      </c>
      <c r="M61" s="69">
        <f t="shared" si="1335"/>
        <v>0</v>
      </c>
      <c r="N61" s="69">
        <f t="shared" si="1335"/>
        <v>10598</v>
      </c>
      <c r="O61" s="69">
        <f t="shared" si="1335"/>
        <v>5246</v>
      </c>
      <c r="P61" s="69">
        <f t="shared" si="1335"/>
        <v>0</v>
      </c>
      <c r="Q61" s="59">
        <v>0</v>
      </c>
      <c r="R61" s="69">
        <f t="shared" ref="R61:V61" si="1336">R62+R63</f>
        <v>0</v>
      </c>
      <c r="S61" s="69">
        <f t="shared" si="1336"/>
        <v>0</v>
      </c>
      <c r="T61" s="69">
        <f t="shared" si="1336"/>
        <v>0</v>
      </c>
      <c r="U61" s="69">
        <f t="shared" si="1336"/>
        <v>2860</v>
      </c>
      <c r="V61" s="69">
        <f t="shared" si="1336"/>
        <v>4523.8116958416003</v>
      </c>
      <c r="W61" s="69"/>
      <c r="X61" s="69">
        <f t="shared" ref="X61:AM61" si="1337">X62+X63</f>
        <v>3.95858170540034</v>
      </c>
      <c r="Y61" s="69">
        <f t="shared" si="1337"/>
        <v>4.1529175456913201</v>
      </c>
      <c r="Z61" s="69">
        <f t="shared" si="1337"/>
        <v>0.83058350913826295</v>
      </c>
      <c r="AA61" s="69">
        <f t="shared" si="1337"/>
        <v>302.64966622301102</v>
      </c>
      <c r="AB61" s="69">
        <f t="shared" si="1337"/>
        <v>7595.6400000000003</v>
      </c>
      <c r="AC61" s="69">
        <f t="shared" si="1337"/>
        <v>533.63848352960804</v>
      </c>
      <c r="AD61" s="69">
        <f t="shared" si="1337"/>
        <v>0</v>
      </c>
      <c r="AE61" s="69">
        <f t="shared" si="1337"/>
        <v>0</v>
      </c>
      <c r="AF61" s="69">
        <f t="shared" si="1337"/>
        <v>84</v>
      </c>
      <c r="AG61" s="69">
        <f t="shared" si="1337"/>
        <v>42</v>
      </c>
      <c r="AH61" s="69">
        <f t="shared" si="1337"/>
        <v>479.55845350641999</v>
      </c>
      <c r="AI61" s="69">
        <f t="shared" si="1337"/>
        <v>5.5281608287293604</v>
      </c>
      <c r="AJ61" s="69">
        <f t="shared" si="1337"/>
        <v>2.7640804143646802</v>
      </c>
      <c r="AK61" s="69">
        <f t="shared" si="1337"/>
        <v>1277.4117721586199</v>
      </c>
      <c r="AL61" s="69">
        <f t="shared" si="1337"/>
        <v>0</v>
      </c>
      <c r="AM61" s="69">
        <f t="shared" si="1337"/>
        <v>300</v>
      </c>
      <c r="AN61" s="69">
        <v>9</v>
      </c>
      <c r="AO61" s="69">
        <f t="shared" ref="AO61:AR61" si="1338">AO62+AO63</f>
        <v>5400</v>
      </c>
      <c r="AP61" s="69">
        <f t="shared" si="1338"/>
        <v>0</v>
      </c>
      <c r="AQ61" s="71"/>
      <c r="AR61" s="69">
        <f t="shared" si="1338"/>
        <v>0</v>
      </c>
      <c r="AS61" s="69">
        <v>2100</v>
      </c>
      <c r="AT61" s="69"/>
      <c r="AU61" s="69">
        <v>900</v>
      </c>
      <c r="AV61" s="71">
        <f t="shared" ref="AV61:AZ61" si="1339">AV62+AV63</f>
        <v>100.232436812835</v>
      </c>
      <c r="AW61" s="71">
        <v>2560.7517993184701</v>
      </c>
      <c r="AX61" s="69">
        <f t="shared" si="1339"/>
        <v>5351.1011773081</v>
      </c>
      <c r="AY61" s="71">
        <f t="shared" si="1339"/>
        <v>0</v>
      </c>
      <c r="AZ61" s="71">
        <f t="shared" si="1339"/>
        <v>18377.8218705777</v>
      </c>
      <c r="BA61" s="69">
        <v>16255</v>
      </c>
      <c r="BB61" s="69">
        <f>BB62+BB63</f>
        <v>14760.5404652942</v>
      </c>
      <c r="BC61" s="69">
        <f>BC62+BC63</f>
        <v>3617.2814052835702</v>
      </c>
      <c r="BD61" s="336">
        <f t="shared" si="1242"/>
        <v>0.24506429244841901</v>
      </c>
      <c r="BG61" s="340"/>
    </row>
    <row r="62" s="5" customFormat="1" ht="17" customHeight="1">
      <c r="A62" s="44"/>
      <c r="B62" s="72" t="s">
        <v>111</v>
      </c>
      <c r="C62" s="46">
        <v>2</v>
      </c>
      <c r="D62" s="46"/>
      <c r="E62" s="46"/>
      <c r="F62" s="46"/>
      <c r="G62" s="73"/>
      <c r="H62" s="59">
        <f t="shared" ref="H62:H72" si="1340">SUM(I62:M62)</f>
        <v>0</v>
      </c>
      <c r="I62" s="59">
        <f t="shared" ref="I62:I72" si="1341">IF(D62="",G62*0.6,0)</f>
        <v>0</v>
      </c>
      <c r="J62" s="59">
        <f t="shared" ref="J62:J72" si="1342">IF(D62=2017,G62*0.7,0)</f>
        <v>0</v>
      </c>
      <c r="K62" s="59">
        <f t="shared" ref="K62:K72" si="1343">IF(D62=2018,G62*0.8,0)</f>
        <v>0</v>
      </c>
      <c r="L62" s="59">
        <f t="shared" ref="L62:L72" si="1344">IF(D62=2019,G62*0.9,0)</f>
        <v>0</v>
      </c>
      <c r="M62" s="59">
        <f t="shared" ref="M62:M72" si="1345">IF(D62=2020,G62*1,0)</f>
        <v>0</v>
      </c>
      <c r="N62" s="59"/>
      <c r="O62" s="59"/>
      <c r="P62" s="59">
        <f>L62*0.4+M62*0.6+N62*0.8+O62*1</f>
        <v>0</v>
      </c>
      <c r="Q62" s="59"/>
      <c r="R62" s="59"/>
      <c r="S62" s="59"/>
      <c r="T62" s="59"/>
      <c r="U62" s="59"/>
      <c r="V62" s="59">
        <f>H62/$H$9*134866+N62/$N$9*202299+P62/$P$9*100000+U62/$U$9*34867</f>
        <v>0</v>
      </c>
      <c r="W62" s="59"/>
      <c r="X62" s="62"/>
      <c r="Y62" s="62"/>
      <c r="Z62" s="62"/>
      <c r="AA62" s="59"/>
      <c r="AB62" s="59"/>
      <c r="AC62" s="59"/>
      <c r="AD62" s="59"/>
      <c r="AE62" s="59"/>
      <c r="AF62" s="59"/>
      <c r="AG62" s="59">
        <f>AF62</f>
        <v>0</v>
      </c>
      <c r="AH62" s="59">
        <f t="shared" ref="AH62:AH72" si="1346">AG62/$AG$9*40459.89</f>
        <v>0</v>
      </c>
      <c r="AI62" s="59"/>
      <c r="AJ62" s="59">
        <f>AI62</f>
        <v>0</v>
      </c>
      <c r="AK62" s="59">
        <f t="shared" ref="AK62:AK72" si="1347">AJ62/$AJ$9*40459.89</f>
        <v>0</v>
      </c>
      <c r="AL62" s="59"/>
      <c r="AM62" s="59"/>
      <c r="AN62" s="59"/>
      <c r="AO62" s="59"/>
      <c r="AP62" s="59"/>
      <c r="AQ62" s="62"/>
      <c r="AR62" s="62"/>
      <c r="AS62" s="59"/>
      <c r="AT62" s="59"/>
      <c r="AU62" s="59"/>
      <c r="AV62" s="62"/>
      <c r="AW62" s="59">
        <v>0</v>
      </c>
      <c r="AX62" s="59"/>
      <c r="AY62" s="59"/>
      <c r="AZ62" s="59">
        <f t="shared" ref="AZ62:AZ72" si="1348">V62+AA62+AC62+AE62+AH62+AK62+AM62+AO62+AP62+AS62+AU62+AW62+AY62</f>
        <v>0</v>
      </c>
      <c r="BA62" s="73"/>
      <c r="BB62" s="170"/>
      <c r="BC62" s="50"/>
      <c r="BD62" s="43"/>
      <c r="BG62" s="340"/>
    </row>
    <row r="63" s="5" customFormat="1" ht="17" customHeight="1">
      <c r="A63" s="75"/>
      <c r="B63" s="76" t="s">
        <v>76</v>
      </c>
      <c r="C63" s="77">
        <v>3</v>
      </c>
      <c r="D63" s="77"/>
      <c r="E63" s="77"/>
      <c r="F63" s="78"/>
      <c r="G63" s="79">
        <f t="shared" ref="G63:P63" si="1349">SUM(G64:G72)</f>
        <v>85777</v>
      </c>
      <c r="H63" s="79">
        <f t="shared" si="1349"/>
        <v>51466.199999999997</v>
      </c>
      <c r="I63" s="79">
        <f t="shared" si="1349"/>
        <v>51466.199999999997</v>
      </c>
      <c r="J63" s="79">
        <f t="shared" si="1349"/>
        <v>0</v>
      </c>
      <c r="K63" s="79">
        <f t="shared" si="1349"/>
        <v>0</v>
      </c>
      <c r="L63" s="79">
        <f t="shared" si="1349"/>
        <v>0</v>
      </c>
      <c r="M63" s="79">
        <f t="shared" si="1349"/>
        <v>0</v>
      </c>
      <c r="N63" s="79">
        <f t="shared" si="1349"/>
        <v>10598</v>
      </c>
      <c r="O63" s="79">
        <f t="shared" si="1349"/>
        <v>5246</v>
      </c>
      <c r="P63" s="79">
        <f t="shared" si="1349"/>
        <v>0</v>
      </c>
      <c r="Q63" s="59">
        <v>0</v>
      </c>
      <c r="R63" s="79">
        <f t="shared" ref="R63:V63" si="1350">SUM(R64:R72)</f>
        <v>0</v>
      </c>
      <c r="S63" s="79">
        <f t="shared" si="1350"/>
        <v>0</v>
      </c>
      <c r="T63" s="79">
        <f t="shared" si="1350"/>
        <v>0</v>
      </c>
      <c r="U63" s="79">
        <f t="shared" si="1350"/>
        <v>2860</v>
      </c>
      <c r="V63" s="79">
        <f t="shared" si="1350"/>
        <v>4523.8116958416003</v>
      </c>
      <c r="W63" s="79"/>
      <c r="X63" s="79">
        <f t="shared" ref="X63:AM63" si="1351">SUM(X64:X72)</f>
        <v>3.95858170540034</v>
      </c>
      <c r="Y63" s="79">
        <f t="shared" si="1351"/>
        <v>4.1529175456913201</v>
      </c>
      <c r="Z63" s="79">
        <f t="shared" si="1351"/>
        <v>0.83058350913826295</v>
      </c>
      <c r="AA63" s="79">
        <f t="shared" si="1351"/>
        <v>302.64966622301102</v>
      </c>
      <c r="AB63" s="79">
        <f t="shared" si="1351"/>
        <v>7595.6400000000003</v>
      </c>
      <c r="AC63" s="79">
        <f t="shared" si="1351"/>
        <v>533.63848352960804</v>
      </c>
      <c r="AD63" s="79">
        <f t="shared" si="1351"/>
        <v>0</v>
      </c>
      <c r="AE63" s="79">
        <f t="shared" si="1351"/>
        <v>0</v>
      </c>
      <c r="AF63" s="79">
        <f t="shared" si="1351"/>
        <v>84</v>
      </c>
      <c r="AG63" s="79">
        <f t="shared" si="1351"/>
        <v>42</v>
      </c>
      <c r="AH63" s="79">
        <f t="shared" si="1351"/>
        <v>479.55845350641999</v>
      </c>
      <c r="AI63" s="79">
        <f t="shared" si="1351"/>
        <v>5.5281608287293604</v>
      </c>
      <c r="AJ63" s="79">
        <f t="shared" si="1351"/>
        <v>2.7640804143646802</v>
      </c>
      <c r="AK63" s="79">
        <f t="shared" si="1351"/>
        <v>1277.4117721586199</v>
      </c>
      <c r="AL63" s="79">
        <f t="shared" si="1351"/>
        <v>0</v>
      </c>
      <c r="AM63" s="79">
        <f t="shared" si="1351"/>
        <v>300</v>
      </c>
      <c r="AN63" s="79">
        <v>9</v>
      </c>
      <c r="AO63" s="79">
        <f t="shared" ref="AO63:AR63" si="1352">SUM(AO64:AO72)</f>
        <v>5400</v>
      </c>
      <c r="AP63" s="79">
        <f t="shared" si="1352"/>
        <v>0</v>
      </c>
      <c r="AQ63" s="79">
        <f t="shared" si="1352"/>
        <v>741.20000000000005</v>
      </c>
      <c r="AR63" s="79">
        <f t="shared" si="1352"/>
        <v>0</v>
      </c>
      <c r="AS63" s="79">
        <v>2100</v>
      </c>
      <c r="AT63" s="79"/>
      <c r="AU63" s="79">
        <v>900</v>
      </c>
      <c r="AV63" s="81">
        <f t="shared" ref="AV63:AZ63" si="1353">SUM(AV64:AV72)</f>
        <v>100.232436812835</v>
      </c>
      <c r="AW63" s="81">
        <v>2560.7517993184701</v>
      </c>
      <c r="AX63" s="79">
        <f t="shared" si="1353"/>
        <v>5351.1011773081</v>
      </c>
      <c r="AY63" s="81">
        <f t="shared" si="1353"/>
        <v>0</v>
      </c>
      <c r="AZ63" s="81">
        <f t="shared" si="1353"/>
        <v>18377.8218705777</v>
      </c>
      <c r="BA63" s="79">
        <v>16255</v>
      </c>
      <c r="BB63" s="79">
        <f>SUM(BB64:BB72)</f>
        <v>14760.5404652942</v>
      </c>
      <c r="BC63" s="79">
        <f>SUM(BC64:BC72)</f>
        <v>3617.2814052835702</v>
      </c>
      <c r="BD63" s="337">
        <f t="shared" si="1242"/>
        <v>0.24506429244841901</v>
      </c>
      <c r="BG63" s="340"/>
    </row>
    <row r="64" ht="17" customHeight="1">
      <c r="A64" s="46">
        <v>35</v>
      </c>
      <c r="B64" s="82" t="s">
        <v>112</v>
      </c>
      <c r="C64" s="46" t="s">
        <v>78</v>
      </c>
      <c r="D64" s="46"/>
      <c r="E64" s="46"/>
      <c r="F64" s="46"/>
      <c r="G64" s="73">
        <v>5253</v>
      </c>
      <c r="H64" s="59">
        <f t="shared" si="1340"/>
        <v>3151.8000000000002</v>
      </c>
      <c r="I64" s="59">
        <f t="shared" si="1341"/>
        <v>3151.8000000000002</v>
      </c>
      <c r="J64" s="59">
        <f t="shared" si="1342"/>
        <v>0</v>
      </c>
      <c r="K64" s="59">
        <f t="shared" si="1343"/>
        <v>0</v>
      </c>
      <c r="L64" s="59">
        <f t="shared" si="1344"/>
        <v>0</v>
      </c>
      <c r="M64" s="59">
        <f t="shared" si="1345"/>
        <v>0</v>
      </c>
      <c r="N64" s="59">
        <v>118</v>
      </c>
      <c r="O64" s="59">
        <v>343</v>
      </c>
      <c r="P64" s="59">
        <f t="shared" ref="P64:P72" si="1354">Q64*0.6+R64*0.8+S64*1+T64*1.25</f>
        <v>0</v>
      </c>
      <c r="Q64" s="59"/>
      <c r="R64" s="59"/>
      <c r="S64" s="59"/>
      <c r="T64" s="59"/>
      <c r="U64" s="59">
        <v>212</v>
      </c>
      <c r="V64" s="59">
        <f t="shared" ref="V64:V72" si="1355">H64/$H$9*(134866+26973)+N64/$N$9*202299+P64/$P$9*100000+U64/$U$9*34867</f>
        <v>165.972533703614</v>
      </c>
      <c r="W64" s="59">
        <v>15658.540000000001</v>
      </c>
      <c r="X64" s="62">
        <f t="shared" ref="X64:X72" si="1356">($W$64-W64)/($W$64-$W$44)</f>
        <v>0</v>
      </c>
      <c r="Y64" s="62">
        <f t="shared" ref="Y64:Y72" si="1357">(G64+N64)*X64/10000</f>
        <v>0</v>
      </c>
      <c r="Z64" s="62">
        <f t="shared" ref="Z64:Z72" si="1358">Y64*0.2</f>
        <v>0</v>
      </c>
      <c r="AA64" s="59">
        <f t="shared" ref="AA64:AA72" si="1359">Z64/$Z$9*(1348663*0.1+30000)</f>
        <v>0</v>
      </c>
      <c r="AB64" s="59">
        <v>667.96000000000004</v>
      </c>
      <c r="AC64" s="59">
        <f t="shared" ref="AC64:AC72" si="1360">(AB64/$AB$9*1348663*0.037)</f>
        <v>46.928127380765403</v>
      </c>
      <c r="AD64" s="59"/>
      <c r="AE64" s="59"/>
      <c r="AF64" s="59">
        <v>15</v>
      </c>
      <c r="AG64" s="59">
        <f t="shared" ref="AG64:AG72" si="1361">AF64*0.5</f>
        <v>7.5</v>
      </c>
      <c r="AH64" s="59">
        <f t="shared" si="1346"/>
        <v>85.635438126146497</v>
      </c>
      <c r="AI64" s="59">
        <v>0.90856192851205297</v>
      </c>
      <c r="AJ64" s="59">
        <f t="shared" ref="AJ64:AJ72" si="1362">AI64*0.5</f>
        <v>0.45428096425602599</v>
      </c>
      <c r="AK64" s="59">
        <f t="shared" si="1347"/>
        <v>209.94463424162001</v>
      </c>
      <c r="AL64" s="338" t="s">
        <v>1544</v>
      </c>
      <c r="AM64" s="59">
        <v>100</v>
      </c>
      <c r="AN64" s="59">
        <v>1</v>
      </c>
      <c r="AO64" s="59">
        <f t="shared" ref="AO64:AO72" si="1363">AN64*600</f>
        <v>600</v>
      </c>
      <c r="AP64" s="59"/>
      <c r="AQ64" s="62">
        <v>81.719999999999999</v>
      </c>
      <c r="AR64" s="62" t="s">
        <v>442</v>
      </c>
      <c r="AS64" s="59">
        <v>300</v>
      </c>
      <c r="AT64" s="59" t="s">
        <v>443</v>
      </c>
      <c r="AU64" s="59"/>
      <c r="AV64" s="62">
        <v>13.360989085886301</v>
      </c>
      <c r="AW64" s="59">
        <f t="shared" si="1263"/>
        <v>341.34834920003198</v>
      </c>
      <c r="AX64" s="59">
        <v>67.703320590252105</v>
      </c>
      <c r="AY64" s="59"/>
      <c r="AZ64" s="59">
        <f t="shared" si="1348"/>
        <v>1849.82908265218</v>
      </c>
      <c r="BA64" s="59">
        <v>1622</v>
      </c>
      <c r="BB64" s="59">
        <f t="shared" ref="BB64:BB72" si="1364">BA64/$BA$9*1348663</f>
        <v>1472.87583111087</v>
      </c>
      <c r="BC64" s="59">
        <f t="shared" ref="BC64:BC72" si="1365">AZ64-BB64</f>
        <v>376.953251541312</v>
      </c>
      <c r="BD64" s="43">
        <f t="shared" si="1242"/>
        <v>0.25593009510992398</v>
      </c>
      <c r="BG64" s="340"/>
    </row>
    <row r="65" ht="17" customHeight="1">
      <c r="A65" s="46">
        <v>36</v>
      </c>
      <c r="B65" s="82" t="s">
        <v>115</v>
      </c>
      <c r="C65" s="46" t="s">
        <v>78</v>
      </c>
      <c r="D65" s="46"/>
      <c r="E65" s="46"/>
      <c r="F65" s="46"/>
      <c r="G65" s="73">
        <v>2166</v>
      </c>
      <c r="H65" s="59">
        <f t="shared" si="1340"/>
        <v>1299.5999999999999</v>
      </c>
      <c r="I65" s="59">
        <f t="shared" si="1341"/>
        <v>1299.5999999999999</v>
      </c>
      <c r="J65" s="59">
        <f t="shared" si="1342"/>
        <v>0</v>
      </c>
      <c r="K65" s="59">
        <f t="shared" si="1343"/>
        <v>0</v>
      </c>
      <c r="L65" s="59">
        <f t="shared" si="1344"/>
        <v>0</v>
      </c>
      <c r="M65" s="59">
        <f t="shared" si="1345"/>
        <v>0</v>
      </c>
      <c r="N65" s="59">
        <v>349</v>
      </c>
      <c r="O65" s="59">
        <v>88</v>
      </c>
      <c r="P65" s="59">
        <f t="shared" si="1354"/>
        <v>0</v>
      </c>
      <c r="Q65" s="59"/>
      <c r="R65" s="59"/>
      <c r="S65" s="59"/>
      <c r="T65" s="59"/>
      <c r="U65" s="59">
        <v>66</v>
      </c>
      <c r="V65" s="59">
        <f t="shared" si="1355"/>
        <v>131.12006813216999</v>
      </c>
      <c r="W65" s="59">
        <v>10967.09</v>
      </c>
      <c r="X65" s="62">
        <f t="shared" si="1356"/>
        <v>0.75704935598077805</v>
      </c>
      <c r="Y65" s="62">
        <f t="shared" si="1357"/>
        <v>0.190397913029166</v>
      </c>
      <c r="Z65" s="62">
        <f t="shared" si="1358"/>
        <v>3.80795826058331e-002</v>
      </c>
      <c r="AA65" s="59">
        <f t="shared" si="1359"/>
        <v>13.8755138270492</v>
      </c>
      <c r="AB65" s="59">
        <v>40</v>
      </c>
      <c r="AC65" s="59">
        <f t="shared" si="1360"/>
        <v>2.8102357854222002</v>
      </c>
      <c r="AD65" s="59"/>
      <c r="AE65" s="59"/>
      <c r="AF65" s="59">
        <v>6</v>
      </c>
      <c r="AG65" s="59">
        <f t="shared" si="1361"/>
        <v>3</v>
      </c>
      <c r="AH65" s="59">
        <f t="shared" si="1346"/>
        <v>34.254175250458601</v>
      </c>
      <c r="AI65" s="59">
        <v>1</v>
      </c>
      <c r="AJ65" s="59">
        <f t="shared" si="1362"/>
        <v>0.5</v>
      </c>
      <c r="AK65" s="59">
        <f t="shared" si="1347"/>
        <v>231.07355443062099</v>
      </c>
      <c r="AL65" s="338"/>
      <c r="AM65" s="59"/>
      <c r="AN65" s="59">
        <v>1</v>
      </c>
      <c r="AO65" s="59">
        <f t="shared" si="1363"/>
        <v>600</v>
      </c>
      <c r="AP65" s="59"/>
      <c r="AQ65" s="62">
        <v>75.890000000000001</v>
      </c>
      <c r="AR65" s="62" t="s">
        <v>440</v>
      </c>
      <c r="AS65" s="59"/>
      <c r="AT65" s="59" t="s">
        <v>441</v>
      </c>
      <c r="AU65" s="59">
        <v>300</v>
      </c>
      <c r="AV65" s="62">
        <v>13.778398359381001</v>
      </c>
      <c r="AW65" s="59">
        <f t="shared" si="1263"/>
        <v>352.01237755394402</v>
      </c>
      <c r="AX65" s="59">
        <v>2240.4327023820902</v>
      </c>
      <c r="AY65" s="59"/>
      <c r="AZ65" s="59">
        <f t="shared" si="1348"/>
        <v>1665.1459249796701</v>
      </c>
      <c r="BA65" s="59">
        <v>1499</v>
      </c>
      <c r="BB65" s="59">
        <f t="shared" si="1364"/>
        <v>1361.18426068754</v>
      </c>
      <c r="BC65" s="59">
        <f t="shared" si="1365"/>
        <v>303.96166429212599</v>
      </c>
      <c r="BD65" s="43">
        <f t="shared" si="1242"/>
        <v>0.22330677269115201</v>
      </c>
      <c r="BG65" s="340"/>
    </row>
    <row r="66" ht="17" customHeight="1">
      <c r="A66" s="46">
        <v>37</v>
      </c>
      <c r="B66" s="82" t="s">
        <v>113</v>
      </c>
      <c r="C66" s="46" t="s">
        <v>78</v>
      </c>
      <c r="D66" s="46"/>
      <c r="E66" s="46"/>
      <c r="F66" s="46"/>
      <c r="G66" s="73">
        <v>6785</v>
      </c>
      <c r="H66" s="59">
        <f t="shared" si="1340"/>
        <v>4071</v>
      </c>
      <c r="I66" s="59">
        <f t="shared" si="1341"/>
        <v>4071</v>
      </c>
      <c r="J66" s="59">
        <f t="shared" si="1342"/>
        <v>0</v>
      </c>
      <c r="K66" s="59">
        <f t="shared" si="1343"/>
        <v>0</v>
      </c>
      <c r="L66" s="59">
        <f t="shared" si="1344"/>
        <v>0</v>
      </c>
      <c r="M66" s="59">
        <f t="shared" si="1345"/>
        <v>0</v>
      </c>
      <c r="N66" s="59">
        <v>551</v>
      </c>
      <c r="O66" s="59">
        <v>19</v>
      </c>
      <c r="P66" s="59">
        <f t="shared" si="1354"/>
        <v>0</v>
      </c>
      <c r="Q66" s="59"/>
      <c r="R66" s="59"/>
      <c r="S66" s="59"/>
      <c r="T66" s="59"/>
      <c r="U66" s="59">
        <v>315</v>
      </c>
      <c r="V66" s="59">
        <f t="shared" si="1355"/>
        <v>314.01786218918602</v>
      </c>
      <c r="W66" s="59">
        <v>11997.51</v>
      </c>
      <c r="X66" s="62">
        <f t="shared" si="1356"/>
        <v>0.59077266169868703</v>
      </c>
      <c r="Y66" s="62">
        <f t="shared" si="1357"/>
        <v>0.433390824622157</v>
      </c>
      <c r="Z66" s="62">
        <f t="shared" si="1358"/>
        <v>8.6678164924431395e-002</v>
      </c>
      <c r="AA66" s="59">
        <f t="shared" si="1359"/>
        <v>31.583961630082602</v>
      </c>
      <c r="AB66" s="59">
        <v>79</v>
      </c>
      <c r="AC66" s="59">
        <f t="shared" si="1360"/>
        <v>5.5502156762088504</v>
      </c>
      <c r="AD66" s="59"/>
      <c r="AE66" s="59"/>
      <c r="AF66" s="59">
        <v>1</v>
      </c>
      <c r="AG66" s="59">
        <f t="shared" si="1361"/>
        <v>0.5</v>
      </c>
      <c r="AH66" s="59">
        <f t="shared" si="1346"/>
        <v>5.7090292084097598</v>
      </c>
      <c r="AI66" s="59">
        <v>0.519893899204244</v>
      </c>
      <c r="AJ66" s="59">
        <f t="shared" si="1362"/>
        <v>0.259946949602122</v>
      </c>
      <c r="AK66" s="59">
        <f t="shared" si="1347"/>
        <v>120.13373121591999</v>
      </c>
      <c r="AL66" s="338"/>
      <c r="AM66" s="59"/>
      <c r="AN66" s="59">
        <v>1</v>
      </c>
      <c r="AO66" s="59">
        <f t="shared" si="1363"/>
        <v>600</v>
      </c>
      <c r="AP66" s="59"/>
      <c r="AQ66" s="62">
        <v>84.739999999999995</v>
      </c>
      <c r="AR66" s="62" t="s">
        <v>442</v>
      </c>
      <c r="AS66" s="59">
        <v>300</v>
      </c>
      <c r="AT66" s="59" t="s">
        <v>441</v>
      </c>
      <c r="AU66" s="59">
        <v>300</v>
      </c>
      <c r="AV66" s="62">
        <v>0.13848211560391399</v>
      </c>
      <c r="AW66" s="59">
        <f t="shared" si="1263"/>
        <v>3.5379597461880801</v>
      </c>
      <c r="AX66" s="59">
        <v>17.202761796210599</v>
      </c>
      <c r="AY66" s="59"/>
      <c r="AZ66" s="59">
        <f t="shared" si="1348"/>
        <v>1680.5327596659999</v>
      </c>
      <c r="BA66" s="59">
        <v>1799</v>
      </c>
      <c r="BB66" s="59">
        <f t="shared" si="1364"/>
        <v>1633.60272513468</v>
      </c>
      <c r="BC66" s="59">
        <f t="shared" si="1365"/>
        <v>46.930034531317503</v>
      </c>
      <c r="BD66" s="43">
        <f t="shared" si="1242"/>
        <v>2.8727935996463502e-002</v>
      </c>
      <c r="BG66" s="340"/>
    </row>
    <row r="67" ht="17" customHeight="1">
      <c r="A67" s="46">
        <v>38</v>
      </c>
      <c r="B67" s="82" t="s">
        <v>114</v>
      </c>
      <c r="C67" s="46" t="s">
        <v>78</v>
      </c>
      <c r="D67" s="46"/>
      <c r="E67" s="46"/>
      <c r="F67" s="46"/>
      <c r="G67" s="73">
        <v>6899</v>
      </c>
      <c r="H67" s="59">
        <f t="shared" si="1340"/>
        <v>4139.3999999999996</v>
      </c>
      <c r="I67" s="59">
        <f t="shared" si="1341"/>
        <v>4139.3999999999996</v>
      </c>
      <c r="J67" s="59">
        <f t="shared" si="1342"/>
        <v>0</v>
      </c>
      <c r="K67" s="59">
        <f t="shared" si="1343"/>
        <v>0</v>
      </c>
      <c r="L67" s="59">
        <f t="shared" si="1344"/>
        <v>0</v>
      </c>
      <c r="M67" s="59">
        <f t="shared" si="1345"/>
        <v>0</v>
      </c>
      <c r="N67" s="59">
        <v>646</v>
      </c>
      <c r="O67" s="59">
        <v>272</v>
      </c>
      <c r="P67" s="59">
        <f t="shared" si="1354"/>
        <v>0</v>
      </c>
      <c r="Q67" s="59"/>
      <c r="R67" s="59"/>
      <c r="S67" s="59"/>
      <c r="T67" s="59"/>
      <c r="U67" s="59">
        <v>312</v>
      </c>
      <c r="V67" s="59">
        <f t="shared" si="1355"/>
        <v>336.67366518180597</v>
      </c>
      <c r="W67" s="59">
        <v>12334.950000000001</v>
      </c>
      <c r="X67" s="62">
        <f t="shared" si="1356"/>
        <v>0.53632068316707104</v>
      </c>
      <c r="Y67" s="62">
        <f t="shared" si="1357"/>
        <v>0.40465395544955501</v>
      </c>
      <c r="Z67" s="62">
        <f t="shared" si="1358"/>
        <v>8.0930791089910997e-002</v>
      </c>
      <c r="AA67" s="59">
        <f t="shared" si="1359"/>
        <v>29.489722154414299</v>
      </c>
      <c r="AB67" s="59">
        <v>135</v>
      </c>
      <c r="AC67" s="59">
        <f t="shared" si="1360"/>
        <v>9.4845457757999405</v>
      </c>
      <c r="AD67" s="59"/>
      <c r="AE67" s="59"/>
      <c r="AF67" s="59">
        <v>2</v>
      </c>
      <c r="AG67" s="59">
        <f t="shared" si="1361"/>
        <v>1</v>
      </c>
      <c r="AH67" s="59">
        <f t="shared" si="1346"/>
        <v>11.4180584168195</v>
      </c>
      <c r="AI67" s="59">
        <v>1.0869565217391301e-002</v>
      </c>
      <c r="AJ67" s="59">
        <f t="shared" si="1362"/>
        <v>5.4347826086956503e-003</v>
      </c>
      <c r="AK67" s="59">
        <f t="shared" si="1347"/>
        <v>2.5116690698980602</v>
      </c>
      <c r="AL67" s="338"/>
      <c r="AM67" s="59"/>
      <c r="AN67" s="59">
        <v>1</v>
      </c>
      <c r="AO67" s="59">
        <f t="shared" si="1363"/>
        <v>600</v>
      </c>
      <c r="AP67" s="59"/>
      <c r="AQ67" s="62">
        <v>84.200000000000003</v>
      </c>
      <c r="AR67" s="62" t="s">
        <v>442</v>
      </c>
      <c r="AS67" s="59">
        <v>300</v>
      </c>
      <c r="AT67" s="59" t="s">
        <v>443</v>
      </c>
      <c r="AU67" s="59"/>
      <c r="AV67" s="62">
        <v>13.643483482244401</v>
      </c>
      <c r="AW67" s="59">
        <f t="shared" si="1263"/>
        <v>348.56555409670801</v>
      </c>
      <c r="AX67" s="59">
        <v>24.631593435460299</v>
      </c>
      <c r="AY67" s="59"/>
      <c r="AZ67" s="59">
        <f t="shared" si="1348"/>
        <v>1638.1432146954501</v>
      </c>
      <c r="BA67" s="59">
        <v>1786</v>
      </c>
      <c r="BB67" s="59">
        <f t="shared" si="1364"/>
        <v>1621.79792500864</v>
      </c>
      <c r="BC67" s="59">
        <f t="shared" si="1365"/>
        <v>16.345289686810901</v>
      </c>
      <c r="BD67" s="43">
        <f t="shared" si="1242"/>
        <v>1.00784995681406e-002</v>
      </c>
      <c r="BG67" s="340"/>
    </row>
    <row r="68" ht="17" customHeight="1">
      <c r="A68" s="46">
        <v>39</v>
      </c>
      <c r="B68" s="82" t="s">
        <v>116</v>
      </c>
      <c r="C68" s="46" t="s">
        <v>78</v>
      </c>
      <c r="D68" s="46"/>
      <c r="E68" s="46"/>
      <c r="F68" s="46"/>
      <c r="G68" s="73">
        <v>9464</v>
      </c>
      <c r="H68" s="59">
        <f t="shared" si="1340"/>
        <v>5678.3999999999996</v>
      </c>
      <c r="I68" s="59">
        <f t="shared" si="1341"/>
        <v>5678.3999999999996</v>
      </c>
      <c r="J68" s="59">
        <f t="shared" si="1342"/>
        <v>0</v>
      </c>
      <c r="K68" s="59">
        <f t="shared" si="1343"/>
        <v>0</v>
      </c>
      <c r="L68" s="59">
        <f t="shared" si="1344"/>
        <v>0</v>
      </c>
      <c r="M68" s="59">
        <f t="shared" si="1345"/>
        <v>0</v>
      </c>
      <c r="N68" s="59">
        <v>956</v>
      </c>
      <c r="O68" s="59">
        <v>102</v>
      </c>
      <c r="P68" s="59">
        <f t="shared" si="1354"/>
        <v>0</v>
      </c>
      <c r="Q68" s="59"/>
      <c r="R68" s="59"/>
      <c r="S68" s="59"/>
      <c r="T68" s="59"/>
      <c r="U68" s="59">
        <v>280</v>
      </c>
      <c r="V68" s="59">
        <f t="shared" si="1355"/>
        <v>442.60483419934201</v>
      </c>
      <c r="W68" s="59">
        <v>12056.07</v>
      </c>
      <c r="X68" s="62">
        <f t="shared" si="1356"/>
        <v>0.58132295845422499</v>
      </c>
      <c r="Y68" s="62">
        <f t="shared" si="1357"/>
        <v>0.60573852270930195</v>
      </c>
      <c r="Z68" s="62">
        <f t="shared" si="1358"/>
        <v>0.12114770454186</v>
      </c>
      <c r="AA68" s="59">
        <f t="shared" si="1359"/>
        <v>44.144040833797199</v>
      </c>
      <c r="AB68" s="59">
        <v>3636.0999999999999</v>
      </c>
      <c r="AC68" s="59">
        <f t="shared" si="1360"/>
        <v>255.457458484342</v>
      </c>
      <c r="AD68" s="59"/>
      <c r="AE68" s="59"/>
      <c r="AF68" s="59">
        <v>8</v>
      </c>
      <c r="AG68" s="59">
        <f t="shared" si="1361"/>
        <v>4</v>
      </c>
      <c r="AH68" s="59">
        <f t="shared" si="1346"/>
        <v>45.6722336672781</v>
      </c>
      <c r="AI68" s="59">
        <v>0.78114334470989799</v>
      </c>
      <c r="AJ68" s="59">
        <f t="shared" si="1362"/>
        <v>0.390571672354949</v>
      </c>
      <c r="AK68" s="59">
        <f t="shared" si="1347"/>
        <v>180.50156918194</v>
      </c>
      <c r="AL68" s="338"/>
      <c r="AM68" s="59"/>
      <c r="AN68" s="59">
        <v>1</v>
      </c>
      <c r="AO68" s="59">
        <f t="shared" si="1363"/>
        <v>600</v>
      </c>
      <c r="AP68" s="59"/>
      <c r="AQ68" s="62">
        <v>86.040000000000006</v>
      </c>
      <c r="AR68" s="62" t="s">
        <v>442</v>
      </c>
      <c r="AS68" s="59">
        <v>300</v>
      </c>
      <c r="AT68" s="59" t="s">
        <v>441</v>
      </c>
      <c r="AU68" s="59">
        <v>300</v>
      </c>
      <c r="AV68" s="62">
        <v>13.6924532375482</v>
      </c>
      <c r="AW68" s="59">
        <f t="shared" si="1263"/>
        <v>349.816640002567</v>
      </c>
      <c r="AX68" s="59">
        <v>13.1081958552776</v>
      </c>
      <c r="AY68" s="59"/>
      <c r="AZ68" s="59">
        <f t="shared" si="1348"/>
        <v>2518.1967763692701</v>
      </c>
      <c r="BA68" s="59">
        <v>1712</v>
      </c>
      <c r="BB68" s="59">
        <f t="shared" si="1364"/>
        <v>1554.6013704450099</v>
      </c>
      <c r="BC68" s="59">
        <f t="shared" si="1365"/>
        <v>963.59540592425901</v>
      </c>
      <c r="BD68" s="43">
        <f t="shared" si="1242"/>
        <v>0.61983439886485303</v>
      </c>
      <c r="BG68" s="340"/>
    </row>
    <row r="69" ht="17" customHeight="1">
      <c r="A69" s="46">
        <v>40</v>
      </c>
      <c r="B69" s="82" t="s">
        <v>117</v>
      </c>
      <c r="C69" s="46" t="s">
        <v>78</v>
      </c>
      <c r="D69" s="46"/>
      <c r="E69" s="46"/>
      <c r="F69" s="46"/>
      <c r="G69" s="73">
        <v>11773</v>
      </c>
      <c r="H69" s="59">
        <f t="shared" si="1340"/>
        <v>7063.8000000000002</v>
      </c>
      <c r="I69" s="59">
        <f t="shared" si="1341"/>
        <v>7063.8000000000002</v>
      </c>
      <c r="J69" s="59">
        <f t="shared" si="1342"/>
        <v>0</v>
      </c>
      <c r="K69" s="59">
        <f t="shared" si="1343"/>
        <v>0</v>
      </c>
      <c r="L69" s="59">
        <f t="shared" si="1344"/>
        <v>0</v>
      </c>
      <c r="M69" s="59">
        <f t="shared" si="1345"/>
        <v>0</v>
      </c>
      <c r="N69" s="59">
        <v>1081</v>
      </c>
      <c r="O69" s="59">
        <v>1238</v>
      </c>
      <c r="P69" s="59">
        <f t="shared" si="1354"/>
        <v>0</v>
      </c>
      <c r="Q69" s="59"/>
      <c r="R69" s="59"/>
      <c r="S69" s="59"/>
      <c r="T69" s="59"/>
      <c r="U69" s="59">
        <v>521</v>
      </c>
      <c r="V69" s="59">
        <f t="shared" si="1355"/>
        <v>567.00245359851499</v>
      </c>
      <c r="W69" s="59">
        <v>14172.93</v>
      </c>
      <c r="X69" s="62">
        <f t="shared" si="1356"/>
        <v>0.239729741069095</v>
      </c>
      <c r="Y69" s="62">
        <f t="shared" si="1357"/>
        <v>0.30814860917021403</v>
      </c>
      <c r="Z69" s="62">
        <f t="shared" si="1358"/>
        <v>6.1629721834042799e-002</v>
      </c>
      <c r="AA69" s="59">
        <f t="shared" si="1359"/>
        <v>22.456760262242501</v>
      </c>
      <c r="AB69" s="59">
        <v>215</v>
      </c>
      <c r="AC69" s="59">
        <f t="shared" si="1360"/>
        <v>15.105017346644299</v>
      </c>
      <c r="AD69" s="59"/>
      <c r="AE69" s="59"/>
      <c r="AF69" s="59">
        <v>19</v>
      </c>
      <c r="AG69" s="59">
        <f t="shared" si="1361"/>
        <v>9.5</v>
      </c>
      <c r="AH69" s="59">
        <f t="shared" si="1346"/>
        <v>108.471554959786</v>
      </c>
      <c r="AI69" s="59">
        <v>0.81467889908256896</v>
      </c>
      <c r="AJ69" s="59">
        <f t="shared" si="1362"/>
        <v>0.40733944954128398</v>
      </c>
      <c r="AK69" s="59">
        <f t="shared" si="1347"/>
        <v>188.25074893063501</v>
      </c>
      <c r="AL69" s="338"/>
      <c r="AM69" s="59"/>
      <c r="AN69" s="59">
        <v>1</v>
      </c>
      <c r="AO69" s="59">
        <f t="shared" si="1363"/>
        <v>600</v>
      </c>
      <c r="AP69" s="59"/>
      <c r="AQ69" s="62">
        <v>80.239999999999995</v>
      </c>
      <c r="AR69" s="62" t="s">
        <v>442</v>
      </c>
      <c r="AS69" s="59">
        <v>300</v>
      </c>
      <c r="AT69" s="59" t="s">
        <v>443</v>
      </c>
      <c r="AU69" s="59"/>
      <c r="AV69" s="62">
        <v>13.320126980838801</v>
      </c>
      <c r="AW69" s="59">
        <f t="shared" si="1263"/>
        <v>340.304398635209</v>
      </c>
      <c r="AX69" s="59">
        <v>1329.18394419012</v>
      </c>
      <c r="AY69" s="59"/>
      <c r="AZ69" s="59">
        <f t="shared" si="1348"/>
        <v>2141.5909337330299</v>
      </c>
      <c r="BA69" s="59">
        <v>1908</v>
      </c>
      <c r="BB69" s="59">
        <f t="shared" si="1364"/>
        <v>1732.58143388381</v>
      </c>
      <c r="BC69" s="59">
        <f t="shared" si="1365"/>
        <v>409.00949984922499</v>
      </c>
      <c r="BD69" s="43">
        <f t="shared" si="1242"/>
        <v>0.23606942326074501</v>
      </c>
      <c r="BG69" s="340"/>
    </row>
    <row r="70" ht="17" customHeight="1">
      <c r="A70" s="46">
        <v>41</v>
      </c>
      <c r="B70" s="82" t="s">
        <v>118</v>
      </c>
      <c r="C70" s="46" t="s">
        <v>78</v>
      </c>
      <c r="D70" s="46"/>
      <c r="E70" s="46"/>
      <c r="F70" s="46"/>
      <c r="G70" s="73">
        <v>10779</v>
      </c>
      <c r="H70" s="59">
        <f t="shared" si="1340"/>
        <v>6467.3999999999996</v>
      </c>
      <c r="I70" s="59">
        <f t="shared" si="1341"/>
        <v>6467.3999999999996</v>
      </c>
      <c r="J70" s="59">
        <f t="shared" si="1342"/>
        <v>0</v>
      </c>
      <c r="K70" s="59">
        <f t="shared" si="1343"/>
        <v>0</v>
      </c>
      <c r="L70" s="59">
        <f t="shared" si="1344"/>
        <v>0</v>
      </c>
      <c r="M70" s="59">
        <f t="shared" si="1345"/>
        <v>0</v>
      </c>
      <c r="N70" s="59">
        <v>1745</v>
      </c>
      <c r="O70" s="59">
        <v>308</v>
      </c>
      <c r="P70" s="59">
        <f t="shared" si="1354"/>
        <v>0</v>
      </c>
      <c r="Q70" s="59"/>
      <c r="R70" s="59"/>
      <c r="S70" s="59"/>
      <c r="T70" s="59"/>
      <c r="U70" s="59">
        <v>443</v>
      </c>
      <c r="V70" s="59">
        <f t="shared" si="1355"/>
        <v>681.45019095397504</v>
      </c>
      <c r="W70" s="59">
        <v>13821.809999999999</v>
      </c>
      <c r="X70" s="62">
        <f t="shared" si="1356"/>
        <v>0.29638923224388503</v>
      </c>
      <c r="Y70" s="62">
        <f t="shared" si="1357"/>
        <v>0.37119787446224201</v>
      </c>
      <c r="Z70" s="62">
        <f t="shared" si="1358"/>
        <v>7.4239574892448396e-002</v>
      </c>
      <c r="AA70" s="59">
        <f t="shared" si="1359"/>
        <v>27.051563526765801</v>
      </c>
      <c r="AB70" s="59">
        <v>893</v>
      </c>
      <c r="AC70" s="59">
        <f t="shared" si="1360"/>
        <v>62.738513909550697</v>
      </c>
      <c r="AD70" s="59"/>
      <c r="AE70" s="59"/>
      <c r="AF70" s="59">
        <v>5</v>
      </c>
      <c r="AG70" s="59">
        <f t="shared" si="1361"/>
        <v>2.5</v>
      </c>
      <c r="AH70" s="59">
        <f t="shared" si="1346"/>
        <v>28.545146042048799</v>
      </c>
      <c r="AI70" s="59">
        <v>0.124774774774775</v>
      </c>
      <c r="AJ70" s="59">
        <f t="shared" si="1362"/>
        <v>6.23873873873875e-002</v>
      </c>
      <c r="AK70" s="59">
        <f t="shared" si="1347"/>
        <v>28.8321507104875</v>
      </c>
      <c r="AL70" s="338"/>
      <c r="AM70" s="59"/>
      <c r="AN70" s="59">
        <v>1</v>
      </c>
      <c r="AO70" s="59">
        <f t="shared" si="1363"/>
        <v>600</v>
      </c>
      <c r="AP70" s="59"/>
      <c r="AQ70" s="62">
        <v>87.420000000000002</v>
      </c>
      <c r="AR70" s="62" t="s">
        <v>442</v>
      </c>
      <c r="AS70" s="59">
        <v>300</v>
      </c>
      <c r="AT70" s="59" t="s">
        <v>443</v>
      </c>
      <c r="AU70" s="59"/>
      <c r="AV70" s="62">
        <v>13.256000734551099</v>
      </c>
      <c r="AW70" s="59">
        <f t="shared" si="1263"/>
        <v>338.66609265576398</v>
      </c>
      <c r="AX70" s="59">
        <v>13.2170899432091</v>
      </c>
      <c r="AY70" s="59"/>
      <c r="AZ70" s="59">
        <f t="shared" si="1348"/>
        <v>2067.28365779859</v>
      </c>
      <c r="BA70" s="59">
        <v>1639</v>
      </c>
      <c r="BB70" s="59">
        <f t="shared" si="1364"/>
        <v>1488.3128774295401</v>
      </c>
      <c r="BC70" s="59">
        <f t="shared" si="1365"/>
        <v>578.97078036905498</v>
      </c>
      <c r="BD70" s="43">
        <f t="shared" si="1242"/>
        <v>0.38901147006736497</v>
      </c>
      <c r="BG70" s="340"/>
    </row>
    <row r="71" ht="17" customHeight="1">
      <c r="A71" s="46">
        <v>42</v>
      </c>
      <c r="B71" s="82" t="s">
        <v>119</v>
      </c>
      <c r="C71" s="46" t="s">
        <v>78</v>
      </c>
      <c r="D71" s="46"/>
      <c r="E71" s="46"/>
      <c r="F71" s="46"/>
      <c r="G71" s="73">
        <v>10233</v>
      </c>
      <c r="H71" s="59">
        <f t="shared" si="1340"/>
        <v>6139.8000000000002</v>
      </c>
      <c r="I71" s="59">
        <f t="shared" si="1341"/>
        <v>6139.8000000000002</v>
      </c>
      <c r="J71" s="59">
        <f t="shared" si="1342"/>
        <v>0</v>
      </c>
      <c r="K71" s="59">
        <f t="shared" si="1343"/>
        <v>0</v>
      </c>
      <c r="L71" s="59">
        <f t="shared" si="1344"/>
        <v>0</v>
      </c>
      <c r="M71" s="59">
        <f t="shared" si="1345"/>
        <v>0</v>
      </c>
      <c r="N71" s="59">
        <v>1932</v>
      </c>
      <c r="O71" s="59">
        <v>1042</v>
      </c>
      <c r="P71" s="59">
        <f t="shared" si="1354"/>
        <v>0</v>
      </c>
      <c r="Q71" s="59"/>
      <c r="R71" s="59"/>
      <c r="S71" s="59"/>
      <c r="T71" s="59"/>
      <c r="U71" s="59">
        <v>287</v>
      </c>
      <c r="V71" s="59">
        <f t="shared" si="1355"/>
        <v>677.47305947981101</v>
      </c>
      <c r="W71" s="59">
        <v>12832.049999999999</v>
      </c>
      <c r="X71" s="62">
        <f t="shared" si="1356"/>
        <v>0.45610470839209799</v>
      </c>
      <c r="Y71" s="62">
        <f t="shared" si="1357"/>
        <v>0.55485137775898796</v>
      </c>
      <c r="Z71" s="62">
        <f t="shared" si="1358"/>
        <v>0.110970275551798</v>
      </c>
      <c r="AA71" s="59">
        <f t="shared" si="1359"/>
        <v>40.4355690751336</v>
      </c>
      <c r="AB71" s="59">
        <v>1668.7</v>
      </c>
      <c r="AC71" s="59">
        <f t="shared" si="1360"/>
        <v>117.23601137835099</v>
      </c>
      <c r="AD71" s="59"/>
      <c r="AE71" s="59"/>
      <c r="AF71" s="59">
        <v>25</v>
      </c>
      <c r="AG71" s="59">
        <f t="shared" si="1361"/>
        <v>12.5</v>
      </c>
      <c r="AH71" s="59">
        <f t="shared" si="1346"/>
        <v>142.725730210244</v>
      </c>
      <c r="AI71" s="59">
        <v>0.91807044410413496</v>
      </c>
      <c r="AJ71" s="59">
        <f t="shared" si="1362"/>
        <v>0.45903522205206698</v>
      </c>
      <c r="AK71" s="59">
        <f t="shared" si="1347"/>
        <v>212.14180073684099</v>
      </c>
      <c r="AL71" s="338" t="s">
        <v>1544</v>
      </c>
      <c r="AM71" s="59">
        <v>100</v>
      </c>
      <c r="AN71" s="59">
        <v>1</v>
      </c>
      <c r="AO71" s="59">
        <f t="shared" si="1363"/>
        <v>600</v>
      </c>
      <c r="AP71" s="59"/>
      <c r="AQ71" s="62">
        <v>81.870000000000005</v>
      </c>
      <c r="AR71" s="62" t="s">
        <v>442</v>
      </c>
      <c r="AS71" s="59">
        <v>300</v>
      </c>
      <c r="AT71" s="59" t="s">
        <v>443</v>
      </c>
      <c r="AU71" s="59"/>
      <c r="AV71" s="62">
        <v>13.8016491894833</v>
      </c>
      <c r="AW71" s="59">
        <f t="shared" si="1263"/>
        <v>352.60639289382101</v>
      </c>
      <c r="AX71" s="59">
        <v>29.475915206558</v>
      </c>
      <c r="AY71" s="59"/>
      <c r="AZ71" s="59">
        <f t="shared" si="1348"/>
        <v>2542.6185637742001</v>
      </c>
      <c r="BA71" s="59">
        <v>1909</v>
      </c>
      <c r="BB71" s="59">
        <f t="shared" si="1364"/>
        <v>1733.48949543196</v>
      </c>
      <c r="BC71" s="59">
        <f t="shared" si="1365"/>
        <v>809.12906834223998</v>
      </c>
      <c r="BD71" s="43">
        <f t="shared" si="1242"/>
        <v>0.46676317939879802</v>
      </c>
      <c r="BG71" s="340"/>
    </row>
    <row r="72" ht="17" customHeight="1">
      <c r="A72" s="46">
        <v>43</v>
      </c>
      <c r="B72" s="82" t="s">
        <v>120</v>
      </c>
      <c r="C72" s="46" t="s">
        <v>78</v>
      </c>
      <c r="D72" s="46"/>
      <c r="E72" s="46"/>
      <c r="F72" s="46"/>
      <c r="G72" s="73">
        <v>22425</v>
      </c>
      <c r="H72" s="59">
        <f t="shared" si="1340"/>
        <v>13455</v>
      </c>
      <c r="I72" s="59">
        <f t="shared" si="1341"/>
        <v>13455</v>
      </c>
      <c r="J72" s="59">
        <f t="shared" si="1342"/>
        <v>0</v>
      </c>
      <c r="K72" s="59">
        <f t="shared" si="1343"/>
        <v>0</v>
      </c>
      <c r="L72" s="59">
        <f t="shared" si="1344"/>
        <v>0</v>
      </c>
      <c r="M72" s="59">
        <f t="shared" si="1345"/>
        <v>0</v>
      </c>
      <c r="N72" s="59">
        <v>3220</v>
      </c>
      <c r="O72" s="59">
        <v>1834</v>
      </c>
      <c r="P72" s="59">
        <f t="shared" si="1354"/>
        <v>0</v>
      </c>
      <c r="Q72" s="59"/>
      <c r="R72" s="59"/>
      <c r="S72" s="59"/>
      <c r="T72" s="59"/>
      <c r="U72" s="59">
        <v>424</v>
      </c>
      <c r="V72" s="59">
        <f t="shared" si="1355"/>
        <v>1207.4970284031799</v>
      </c>
      <c r="W72" s="59">
        <v>12554.5</v>
      </c>
      <c r="X72" s="62">
        <f t="shared" si="1356"/>
        <v>0.50089236439449902</v>
      </c>
      <c r="Y72" s="62">
        <f t="shared" si="1357"/>
        <v>1.2845384684896901</v>
      </c>
      <c r="Z72" s="62">
        <f t="shared" si="1358"/>
        <v>0.25690769369793898</v>
      </c>
      <c r="AA72" s="59">
        <f t="shared" si="1359"/>
        <v>93.612534913526204</v>
      </c>
      <c r="AB72" s="59">
        <v>260.88</v>
      </c>
      <c r="AC72" s="59">
        <f t="shared" si="1360"/>
        <v>18.328357792523601</v>
      </c>
      <c r="AD72" s="59"/>
      <c r="AE72" s="59"/>
      <c r="AF72" s="59">
        <v>3</v>
      </c>
      <c r="AG72" s="59">
        <f t="shared" si="1361"/>
        <v>1.5</v>
      </c>
      <c r="AH72" s="59">
        <f t="shared" si="1346"/>
        <v>17.127087625229301</v>
      </c>
      <c r="AI72" s="59">
        <v>0.45016797312430001</v>
      </c>
      <c r="AJ72" s="59">
        <f t="shared" si="1362"/>
        <v>0.22508398656215001</v>
      </c>
      <c r="AK72" s="59">
        <f t="shared" si="1347"/>
        <v>104.02191364066</v>
      </c>
      <c r="AL72" s="338" t="s">
        <v>1544</v>
      </c>
      <c r="AM72" s="59">
        <v>100</v>
      </c>
      <c r="AN72" s="59">
        <v>1</v>
      </c>
      <c r="AO72" s="59">
        <f t="shared" si="1363"/>
        <v>600</v>
      </c>
      <c r="AP72" s="59"/>
      <c r="AQ72" s="62">
        <v>79.079999999999998</v>
      </c>
      <c r="AR72" s="62" t="s">
        <v>440</v>
      </c>
      <c r="AS72" s="59"/>
      <c r="AT72" s="59" t="s">
        <v>443</v>
      </c>
      <c r="AU72" s="59"/>
      <c r="AV72" s="62">
        <v>5.2408536272983399</v>
      </c>
      <c r="AW72" s="59">
        <f t="shared" si="1263"/>
        <v>133.894034534242</v>
      </c>
      <c r="AX72" s="59">
        <v>1616.1456539089199</v>
      </c>
      <c r="AY72" s="59"/>
      <c r="AZ72" s="59">
        <f t="shared" si="1348"/>
        <v>2274.48095690936</v>
      </c>
      <c r="BA72" s="59">
        <v>2381</v>
      </c>
      <c r="BB72" s="59">
        <f t="shared" si="1364"/>
        <v>2162.09454616213</v>
      </c>
      <c r="BC72" s="59">
        <f t="shared" si="1365"/>
        <v>112.38641074722899</v>
      </c>
      <c r="BD72" s="43">
        <f t="shared" si="1242"/>
        <v>5.1980340520595199e-002</v>
      </c>
      <c r="BG72" s="340"/>
    </row>
    <row r="73" s="5" customFormat="1" ht="17" customHeight="1">
      <c r="A73" s="65"/>
      <c r="B73" s="66" t="s">
        <v>121</v>
      </c>
      <c r="C73" s="67">
        <v>1</v>
      </c>
      <c r="D73" s="67"/>
      <c r="E73" s="67"/>
      <c r="F73" s="68"/>
      <c r="G73" s="69">
        <f t="shared" ref="G73:P73" si="1366">G74+G75</f>
        <v>819007</v>
      </c>
      <c r="H73" s="69">
        <f t="shared" si="1366"/>
        <v>673466.59999999998</v>
      </c>
      <c r="I73" s="69">
        <f t="shared" si="1366"/>
        <v>118389.60000000001</v>
      </c>
      <c r="J73" s="69">
        <f t="shared" si="1366"/>
        <v>23216.200000000001</v>
      </c>
      <c r="K73" s="69">
        <f t="shared" si="1366"/>
        <v>38713.599999999999</v>
      </c>
      <c r="L73" s="69">
        <f t="shared" si="1366"/>
        <v>422872.20000000001</v>
      </c>
      <c r="M73" s="69">
        <f t="shared" si="1366"/>
        <v>70275</v>
      </c>
      <c r="N73" s="69">
        <f t="shared" si="1366"/>
        <v>77031</v>
      </c>
      <c r="O73" s="69">
        <f t="shared" si="1366"/>
        <v>75806</v>
      </c>
      <c r="P73" s="69">
        <f t="shared" si="1366"/>
        <v>5923.1999999999998</v>
      </c>
      <c r="Q73" s="59">
        <v>9872</v>
      </c>
      <c r="R73" s="69">
        <f t="shared" ref="R73:V73" si="1367">R74+R75</f>
        <v>0</v>
      </c>
      <c r="S73" s="69">
        <f t="shared" si="1367"/>
        <v>0</v>
      </c>
      <c r="T73" s="69">
        <f t="shared" si="1367"/>
        <v>0</v>
      </c>
      <c r="U73" s="69">
        <f t="shared" si="1367"/>
        <v>11924</v>
      </c>
      <c r="V73" s="69">
        <f t="shared" si="1367"/>
        <v>40567.407743370699</v>
      </c>
      <c r="W73" s="69"/>
      <c r="X73" s="69">
        <f t="shared" ref="X73:AM73" si="1368">X74+X75</f>
        <v>9.0653184917912206</v>
      </c>
      <c r="Y73" s="69">
        <f t="shared" si="1368"/>
        <v>63.921692040851902</v>
      </c>
      <c r="Z73" s="69">
        <f t="shared" si="1368"/>
        <v>49.253447888065601</v>
      </c>
      <c r="AA73" s="69">
        <f t="shared" si="1368"/>
        <v>17947.0690179259</v>
      </c>
      <c r="AB73" s="69">
        <f t="shared" si="1368"/>
        <v>69842.210000000006</v>
      </c>
      <c r="AC73" s="69">
        <f t="shared" si="1368"/>
        <v>4906.8269468743101</v>
      </c>
      <c r="AD73" s="69">
        <f t="shared" si="1368"/>
        <v>1</v>
      </c>
      <c r="AE73" s="69">
        <f t="shared" si="1368"/>
        <v>0</v>
      </c>
      <c r="AF73" s="69">
        <f t="shared" si="1368"/>
        <v>415</v>
      </c>
      <c r="AG73" s="69">
        <f t="shared" si="1368"/>
        <v>300</v>
      </c>
      <c r="AH73" s="69">
        <f t="shared" si="1368"/>
        <v>3425.4175250458602</v>
      </c>
      <c r="AI73" s="69">
        <f t="shared" si="1368"/>
        <v>12.740524025349</v>
      </c>
      <c r="AJ73" s="69">
        <f t="shared" si="1368"/>
        <v>9.7935559326050008</v>
      </c>
      <c r="AK73" s="69">
        <f t="shared" si="1368"/>
        <v>4526.0635597242699</v>
      </c>
      <c r="AL73" s="69">
        <f t="shared" si="1368"/>
        <v>0</v>
      </c>
      <c r="AM73" s="69">
        <f t="shared" si="1368"/>
        <v>100</v>
      </c>
      <c r="AN73" s="69">
        <v>18</v>
      </c>
      <c r="AO73" s="69">
        <f t="shared" ref="AO73:AR73" si="1369">AO74+AO75</f>
        <v>10800</v>
      </c>
      <c r="AP73" s="69">
        <f t="shared" si="1369"/>
        <v>33484.369091872897</v>
      </c>
      <c r="AQ73" s="69">
        <f t="shared" si="1369"/>
        <v>1080.73</v>
      </c>
      <c r="AR73" s="69">
        <f t="shared" si="1369"/>
        <v>0</v>
      </c>
      <c r="AS73" s="69">
        <v>4200</v>
      </c>
      <c r="AT73" s="69"/>
      <c r="AU73" s="69">
        <v>3800</v>
      </c>
      <c r="AV73" s="71">
        <f t="shared" ref="AV73:AZ73" si="1370">AV74+AV75</f>
        <v>121.91694121307</v>
      </c>
      <c r="AW73" s="71">
        <v>3114.7504391392299</v>
      </c>
      <c r="AX73" s="69">
        <f t="shared" si="1370"/>
        <v>10765.294361501001</v>
      </c>
      <c r="AY73" s="71">
        <f t="shared" si="1370"/>
        <v>0</v>
      </c>
      <c r="AZ73" s="71">
        <f t="shared" si="1370"/>
        <v>126871.904323953</v>
      </c>
      <c r="BA73" s="69">
        <v>140273</v>
      </c>
      <c r="BB73" s="69">
        <f>BB74+BB75</f>
        <v>127376.517544645</v>
      </c>
      <c r="BC73" s="69">
        <f>BC74+BC75</f>
        <v>-504.61322069198599</v>
      </c>
      <c r="BD73" s="336">
        <f t="shared" si="1242"/>
        <v>-3.9615875078004101e-003</v>
      </c>
      <c r="BG73" s="340"/>
    </row>
    <row r="74" s="5" customFormat="1" ht="17" customHeight="1">
      <c r="A74" s="44"/>
      <c r="B74" s="72" t="s">
        <v>122</v>
      </c>
      <c r="C74" s="46">
        <v>2</v>
      </c>
      <c r="D74" s="46"/>
      <c r="E74" s="46"/>
      <c r="F74" s="46"/>
      <c r="G74" s="73"/>
      <c r="H74" s="59">
        <f t="shared" ref="H74:H88" si="1371">SUM(I74:M74)</f>
        <v>0</v>
      </c>
      <c r="I74" s="59">
        <f t="shared" ref="I74:I88" si="1372">IF(D74="",G74*0.6,0)</f>
        <v>0</v>
      </c>
      <c r="J74" s="59">
        <f t="shared" ref="J74:J88" si="1373">IF(D74=2017,G74*0.7,0)</f>
        <v>0</v>
      </c>
      <c r="K74" s="59">
        <f t="shared" ref="K74:K88" si="1374">IF(D74=2018,G74*0.8,0)</f>
        <v>0</v>
      </c>
      <c r="L74" s="59">
        <f t="shared" ref="L74:L88" si="1375">IF(D74=2019,G74*0.9,0)</f>
        <v>0</v>
      </c>
      <c r="M74" s="59">
        <f t="shared" ref="M74:M88" si="1376">IF(D74=2020,G74*1,0)</f>
        <v>0</v>
      </c>
      <c r="N74" s="59"/>
      <c r="O74" s="59"/>
      <c r="P74" s="59">
        <f>L74*0.4+M74*0.6+N74*0.8+O74*1</f>
        <v>0</v>
      </c>
      <c r="Q74" s="59"/>
      <c r="R74" s="59"/>
      <c r="S74" s="59"/>
      <c r="T74" s="59"/>
      <c r="U74" s="59"/>
      <c r="V74" s="59">
        <f>H74/$H$9*134866+N74/$N$9*202299+P74/$P$9*100000+U74/$U$9*34867</f>
        <v>0</v>
      </c>
      <c r="W74" s="59"/>
      <c r="X74" s="62"/>
      <c r="Y74" s="62"/>
      <c r="Z74" s="62"/>
      <c r="AA74" s="59"/>
      <c r="AB74" s="59"/>
      <c r="AC74" s="59"/>
      <c r="AD74" s="59"/>
      <c r="AE74" s="59"/>
      <c r="AF74" s="59"/>
      <c r="AG74" s="59">
        <f>AF74</f>
        <v>0</v>
      </c>
      <c r="AH74" s="59">
        <f t="shared" ref="AH74:AH88" si="1377">AG74/$AG$9*40459.89</f>
        <v>0</v>
      </c>
      <c r="AI74" s="59"/>
      <c r="AJ74" s="59">
        <f>AI74</f>
        <v>0</v>
      </c>
      <c r="AK74" s="59">
        <f t="shared" ref="AK74:AK88" si="1378">AJ74/$AJ$9*40459.89</f>
        <v>0</v>
      </c>
      <c r="AL74" s="59"/>
      <c r="AM74" s="59"/>
      <c r="AN74" s="59"/>
      <c r="AO74" s="59"/>
      <c r="AP74" s="59"/>
      <c r="AQ74" s="62"/>
      <c r="AR74" s="62"/>
      <c r="AS74" s="59"/>
      <c r="AT74" s="59"/>
      <c r="AU74" s="59"/>
      <c r="AV74" s="62"/>
      <c r="AW74" s="59">
        <v>0</v>
      </c>
      <c r="AX74" s="59"/>
      <c r="AY74" s="59"/>
      <c r="AZ74" s="59">
        <f t="shared" ref="AZ74:AZ88" si="1379">V74+AA74+AC74+AE74+AH74+AK74+AM74+AO74+AP74+AS74+AU74+AW74+AY74</f>
        <v>0</v>
      </c>
      <c r="BA74" s="73"/>
      <c r="BB74" s="170"/>
      <c r="BC74" s="50"/>
      <c r="BD74" s="43"/>
      <c r="BG74" s="340"/>
    </row>
    <row r="75" s="5" customFormat="1" ht="17" customHeight="1">
      <c r="A75" s="75"/>
      <c r="B75" s="76" t="s">
        <v>76</v>
      </c>
      <c r="C75" s="77">
        <v>3</v>
      </c>
      <c r="D75" s="77"/>
      <c r="E75" s="77"/>
      <c r="F75" s="78"/>
      <c r="G75" s="79">
        <f t="shared" ref="G75:P75" si="1380">SUM(G76:G88)</f>
        <v>819007</v>
      </c>
      <c r="H75" s="79">
        <f t="shared" si="1380"/>
        <v>673466.59999999998</v>
      </c>
      <c r="I75" s="79">
        <f t="shared" si="1380"/>
        <v>118389.60000000001</v>
      </c>
      <c r="J75" s="79">
        <f t="shared" si="1380"/>
        <v>23216.200000000001</v>
      </c>
      <c r="K75" s="79">
        <f t="shared" si="1380"/>
        <v>38713.599999999999</v>
      </c>
      <c r="L75" s="79">
        <f t="shared" si="1380"/>
        <v>422872.20000000001</v>
      </c>
      <c r="M75" s="79">
        <f t="shared" si="1380"/>
        <v>70275</v>
      </c>
      <c r="N75" s="79">
        <f t="shared" si="1380"/>
        <v>77031</v>
      </c>
      <c r="O75" s="79">
        <f t="shared" si="1380"/>
        <v>75806</v>
      </c>
      <c r="P75" s="79">
        <f t="shared" si="1380"/>
        <v>5923.1999999999998</v>
      </c>
      <c r="Q75" s="59">
        <v>9872</v>
      </c>
      <c r="R75" s="79">
        <f t="shared" ref="R75:V75" si="1381">SUM(R76:R88)</f>
        <v>0</v>
      </c>
      <c r="S75" s="79">
        <f t="shared" si="1381"/>
        <v>0</v>
      </c>
      <c r="T75" s="79">
        <f t="shared" si="1381"/>
        <v>0</v>
      </c>
      <c r="U75" s="79">
        <f t="shared" si="1381"/>
        <v>11924</v>
      </c>
      <c r="V75" s="79">
        <f t="shared" si="1381"/>
        <v>40567.407743370699</v>
      </c>
      <c r="W75" s="79"/>
      <c r="X75" s="79">
        <f t="shared" ref="X75:AM75" si="1382">SUM(X76:X88)</f>
        <v>9.0653184917912206</v>
      </c>
      <c r="Y75" s="79">
        <f t="shared" si="1382"/>
        <v>63.921692040851902</v>
      </c>
      <c r="Z75" s="79">
        <f t="shared" si="1382"/>
        <v>49.253447888065601</v>
      </c>
      <c r="AA75" s="79">
        <f t="shared" si="1382"/>
        <v>17947.0690179259</v>
      </c>
      <c r="AB75" s="79">
        <f t="shared" si="1382"/>
        <v>69842.210000000006</v>
      </c>
      <c r="AC75" s="79">
        <f t="shared" si="1382"/>
        <v>4906.8269468743101</v>
      </c>
      <c r="AD75" s="79">
        <f t="shared" si="1382"/>
        <v>1</v>
      </c>
      <c r="AE75" s="79">
        <f t="shared" si="1382"/>
        <v>0</v>
      </c>
      <c r="AF75" s="79">
        <f t="shared" si="1382"/>
        <v>415</v>
      </c>
      <c r="AG75" s="79">
        <f t="shared" si="1382"/>
        <v>300</v>
      </c>
      <c r="AH75" s="79">
        <f t="shared" si="1382"/>
        <v>3425.4175250458602</v>
      </c>
      <c r="AI75" s="79">
        <f t="shared" si="1382"/>
        <v>12.740524025349</v>
      </c>
      <c r="AJ75" s="79">
        <f t="shared" si="1382"/>
        <v>9.7935559326050008</v>
      </c>
      <c r="AK75" s="79">
        <f t="shared" si="1382"/>
        <v>4526.0635597242699</v>
      </c>
      <c r="AL75" s="79">
        <f t="shared" si="1382"/>
        <v>0</v>
      </c>
      <c r="AM75" s="79">
        <f t="shared" si="1382"/>
        <v>100</v>
      </c>
      <c r="AN75" s="79">
        <v>18</v>
      </c>
      <c r="AO75" s="79">
        <f t="shared" ref="AO75:AR75" si="1383">SUM(AO76:AO88)</f>
        <v>10800</v>
      </c>
      <c r="AP75" s="79">
        <f t="shared" si="1383"/>
        <v>33484.369091872897</v>
      </c>
      <c r="AQ75" s="79">
        <f t="shared" si="1383"/>
        <v>1080.73</v>
      </c>
      <c r="AR75" s="79">
        <f t="shared" si="1383"/>
        <v>0</v>
      </c>
      <c r="AS75" s="79">
        <v>4200</v>
      </c>
      <c r="AT75" s="79"/>
      <c r="AU75" s="79">
        <v>3800</v>
      </c>
      <c r="AV75" s="81">
        <f t="shared" ref="AV75:BC75" si="1384">SUM(AV76:AV88)</f>
        <v>121.91694121307</v>
      </c>
      <c r="AW75" s="81">
        <v>3114.7504391392299</v>
      </c>
      <c r="AX75" s="79">
        <f t="shared" si="1384"/>
        <v>10765.294361501001</v>
      </c>
      <c r="AY75" s="81">
        <f t="shared" si="1384"/>
        <v>0</v>
      </c>
      <c r="AZ75" s="81">
        <f t="shared" si="1384"/>
        <v>126871.904323953</v>
      </c>
      <c r="BA75" s="81">
        <f t="shared" si="1384"/>
        <v>140273</v>
      </c>
      <c r="BB75" s="79">
        <f t="shared" si="1384"/>
        <v>127376.517544645</v>
      </c>
      <c r="BC75" s="79">
        <f t="shared" si="1384"/>
        <v>-504.61322069198599</v>
      </c>
      <c r="BD75" s="337">
        <f t="shared" si="1242"/>
        <v>-3.9615875078004101e-003</v>
      </c>
      <c r="BG75" s="340"/>
    </row>
    <row r="76" ht="17" customHeight="1">
      <c r="A76" s="46">
        <v>44</v>
      </c>
      <c r="B76" s="82" t="s">
        <v>123</v>
      </c>
      <c r="C76" s="46" t="s">
        <v>78</v>
      </c>
      <c r="D76" s="46"/>
      <c r="E76" s="46"/>
      <c r="F76" s="46"/>
      <c r="G76" s="73">
        <v>11957</v>
      </c>
      <c r="H76" s="59">
        <f t="shared" si="1371"/>
        <v>7174.1999999999998</v>
      </c>
      <c r="I76" s="59">
        <f t="shared" si="1372"/>
        <v>7174.1999999999998</v>
      </c>
      <c r="J76" s="59">
        <f t="shared" si="1373"/>
        <v>0</v>
      </c>
      <c r="K76" s="59">
        <f t="shared" si="1374"/>
        <v>0</v>
      </c>
      <c r="L76" s="59">
        <f t="shared" si="1375"/>
        <v>0</v>
      </c>
      <c r="M76" s="59">
        <f t="shared" si="1376"/>
        <v>0</v>
      </c>
      <c r="N76" s="59">
        <v>1492</v>
      </c>
      <c r="O76" s="59">
        <v>2096</v>
      </c>
      <c r="P76" s="59">
        <f t="shared" ref="P76:P88" si="1385">Q76*0.6+R76*0.8+S76*1+T76*1.25</f>
        <v>611.39999999999998</v>
      </c>
      <c r="Q76" s="59">
        <v>1019</v>
      </c>
      <c r="R76" s="59"/>
      <c r="S76" s="59"/>
      <c r="T76" s="59"/>
      <c r="U76" s="59">
        <v>412</v>
      </c>
      <c r="V76" s="59">
        <f t="shared" ref="V76:V88" si="1386">H76/$H$9*(134866+26973)+N76/$N$9*202299+P76/$P$9*100000+U76/$U$9*34867</f>
        <v>771.84156280856303</v>
      </c>
      <c r="W76" s="59">
        <v>10335.940000000001</v>
      </c>
      <c r="X76" s="62">
        <f t="shared" ref="X76:X88" si="1387">($W$64-W76)/($W$64-$W$44)</f>
        <v>0.85889669550848602</v>
      </c>
      <c r="Y76" s="62">
        <f t="shared" ref="Y76:Y88" si="1388">(G76+N76)*X76/10000</f>
        <v>1.15513016578936</v>
      </c>
      <c r="Z76" s="62">
        <f t="shared" ref="Z76:Z79" si="1389">Y76*0.2</f>
        <v>0.23102603315787301</v>
      </c>
      <c r="AA76" s="59">
        <f t="shared" ref="AA76:AA88" si="1390">Z76/$Z$9*(1348663*0.1+30000)</f>
        <v>84.181724118985997</v>
      </c>
      <c r="AB76" s="59">
        <v>1648.5</v>
      </c>
      <c r="AC76" s="59">
        <f t="shared" ref="AC76:AC88" si="1391">(AB76/$AB$9*1348663*0.037)</f>
        <v>115.816842306713</v>
      </c>
      <c r="AD76" s="59"/>
      <c r="AE76" s="59"/>
      <c r="AF76" s="59">
        <v>5</v>
      </c>
      <c r="AG76" s="59">
        <f t="shared" ref="AG76:AG79" si="1392">AF76*0.5</f>
        <v>2.5</v>
      </c>
      <c r="AH76" s="59">
        <f t="shared" si="1377"/>
        <v>28.545146042048799</v>
      </c>
      <c r="AI76" s="59">
        <v>1</v>
      </c>
      <c r="AJ76" s="59">
        <f t="shared" ref="AJ76:AJ79" si="1393">AI76*0.5</f>
        <v>0.5</v>
      </c>
      <c r="AK76" s="59">
        <f t="shared" si="1378"/>
        <v>231.07355443062099</v>
      </c>
      <c r="AL76" s="338"/>
      <c r="AM76" s="59"/>
      <c r="AN76" s="59">
        <v>1</v>
      </c>
      <c r="AO76" s="59">
        <f t="shared" ref="AO76:AO88" si="1394">AN76*600</f>
        <v>600</v>
      </c>
      <c r="AP76" s="59"/>
      <c r="AQ76" s="62">
        <v>84</v>
      </c>
      <c r="AR76" s="62" t="s">
        <v>442</v>
      </c>
      <c r="AS76" s="59">
        <v>300</v>
      </c>
      <c r="AT76" s="59" t="s">
        <v>443</v>
      </c>
      <c r="AU76" s="59"/>
      <c r="AV76" s="62">
        <v>7.2497316738440496</v>
      </c>
      <c r="AW76" s="59">
        <f t="shared" si="1263"/>
        <v>185.21712150965999</v>
      </c>
      <c r="AX76" s="59">
        <v>23.035209295319302</v>
      </c>
      <c r="AY76" s="59"/>
      <c r="AZ76" s="59">
        <f t="shared" si="1379"/>
        <v>2316.67595121659</v>
      </c>
      <c r="BA76" s="59">
        <v>1820</v>
      </c>
      <c r="BB76" s="59">
        <f t="shared" ref="BB76:BB88" si="1395">BA76/$BA$9*1348663</f>
        <v>1652.6720176459801</v>
      </c>
      <c r="BC76" s="59">
        <f t="shared" ref="BC76:BC88" si="1396">AZ76-BB76</f>
        <v>664.00393357061398</v>
      </c>
      <c r="BD76" s="43">
        <f t="shared" si="1242"/>
        <v>0.401775988508841</v>
      </c>
      <c r="BG76" s="340"/>
    </row>
    <row r="77" ht="17" customHeight="1">
      <c r="A77" s="46">
        <v>45</v>
      </c>
      <c r="B77" s="82" t="s">
        <v>124</v>
      </c>
      <c r="C77" s="46" t="s">
        <v>78</v>
      </c>
      <c r="D77" s="46"/>
      <c r="E77" s="46"/>
      <c r="F77" s="46"/>
      <c r="G77" s="73">
        <v>22408</v>
      </c>
      <c r="H77" s="59">
        <f t="shared" si="1371"/>
        <v>13444.799999999999</v>
      </c>
      <c r="I77" s="59">
        <f t="shared" si="1372"/>
        <v>13444.799999999999</v>
      </c>
      <c r="J77" s="59">
        <f t="shared" si="1373"/>
        <v>0</v>
      </c>
      <c r="K77" s="59">
        <f t="shared" si="1374"/>
        <v>0</v>
      </c>
      <c r="L77" s="59">
        <f t="shared" si="1375"/>
        <v>0</v>
      </c>
      <c r="M77" s="59">
        <f t="shared" si="1376"/>
        <v>0</v>
      </c>
      <c r="N77" s="59">
        <v>1405</v>
      </c>
      <c r="O77" s="59">
        <v>1046</v>
      </c>
      <c r="P77" s="59">
        <f t="shared" si="1385"/>
        <v>0</v>
      </c>
      <c r="Q77" s="59"/>
      <c r="R77" s="59"/>
      <c r="S77" s="59"/>
      <c r="T77" s="59"/>
      <c r="U77" s="59">
        <v>663</v>
      </c>
      <c r="V77" s="59">
        <f t="shared" si="1386"/>
        <v>854.31618899904197</v>
      </c>
      <c r="W77" s="59">
        <v>11774.280000000001</v>
      </c>
      <c r="X77" s="62">
        <f t="shared" si="1387"/>
        <v>0.62679481428170303</v>
      </c>
      <c r="Y77" s="62">
        <f t="shared" si="1388"/>
        <v>1.4925864912490201</v>
      </c>
      <c r="Z77" s="62">
        <f t="shared" si="1389"/>
        <v>0.298517298249804</v>
      </c>
      <c r="AA77" s="59">
        <f t="shared" si="1390"/>
        <v>108.774325137798</v>
      </c>
      <c r="AB77" s="59">
        <v>918.38</v>
      </c>
      <c r="AC77" s="59">
        <f t="shared" si="1391"/>
        <v>64.521608515401098</v>
      </c>
      <c r="AD77" s="59"/>
      <c r="AE77" s="59"/>
      <c r="AF77" s="59">
        <v>19</v>
      </c>
      <c r="AG77" s="59">
        <f t="shared" si="1392"/>
        <v>9.5</v>
      </c>
      <c r="AH77" s="59">
        <f t="shared" si="1377"/>
        <v>108.471554959786</v>
      </c>
      <c r="AI77" s="59">
        <v>0.99013848090641998</v>
      </c>
      <c r="AJ77" s="59">
        <f t="shared" si="1393"/>
        <v>0.49506924045320999</v>
      </c>
      <c r="AK77" s="59">
        <f t="shared" si="1378"/>
        <v>228.79481816158199</v>
      </c>
      <c r="AL77" s="338" t="s">
        <v>1544</v>
      </c>
      <c r="AM77" s="59">
        <v>100</v>
      </c>
      <c r="AN77" s="59">
        <v>1</v>
      </c>
      <c r="AO77" s="59">
        <f t="shared" si="1394"/>
        <v>600</v>
      </c>
      <c r="AP77" s="59"/>
      <c r="AQ77" s="62">
        <v>83.549999999999997</v>
      </c>
      <c r="AR77" s="62" t="s">
        <v>442</v>
      </c>
      <c r="AS77" s="59">
        <v>300</v>
      </c>
      <c r="AT77" s="59" t="s">
        <v>443</v>
      </c>
      <c r="AU77" s="59"/>
      <c r="AV77" s="62">
        <v>14.413589316757699</v>
      </c>
      <c r="AW77" s="59">
        <f t="shared" si="1263"/>
        <v>368.24032170789599</v>
      </c>
      <c r="AX77" s="59">
        <v>3.6783543747393499</v>
      </c>
      <c r="AY77" s="59"/>
      <c r="AZ77" s="59">
        <f t="shared" si="1379"/>
        <v>2733.1188174815002</v>
      </c>
      <c r="BA77" s="59">
        <v>2137</v>
      </c>
      <c r="BB77" s="59">
        <f t="shared" si="1395"/>
        <v>1940.5275284117899</v>
      </c>
      <c r="BC77" s="59">
        <f t="shared" si="1396"/>
        <v>792.59128906971603</v>
      </c>
      <c r="BD77" s="43">
        <f t="shared" si="1242"/>
        <v>0.40844114678363103</v>
      </c>
      <c r="BG77" s="340"/>
    </row>
    <row r="78" ht="17" customHeight="1">
      <c r="A78" s="46">
        <v>46</v>
      </c>
      <c r="B78" s="82" t="s">
        <v>125</v>
      </c>
      <c r="C78" s="46" t="s">
        <v>78</v>
      </c>
      <c r="D78" s="46"/>
      <c r="E78" s="46"/>
      <c r="F78" s="46"/>
      <c r="G78" s="73">
        <v>58704</v>
      </c>
      <c r="H78" s="59">
        <f t="shared" si="1371"/>
        <v>35222.400000000001</v>
      </c>
      <c r="I78" s="59">
        <f t="shared" si="1372"/>
        <v>35222.400000000001</v>
      </c>
      <c r="J78" s="59">
        <f t="shared" si="1373"/>
        <v>0</v>
      </c>
      <c r="K78" s="59">
        <f t="shared" si="1374"/>
        <v>0</v>
      </c>
      <c r="L78" s="59">
        <f t="shared" si="1375"/>
        <v>0</v>
      </c>
      <c r="M78" s="59">
        <f t="shared" si="1376"/>
        <v>0</v>
      </c>
      <c r="N78" s="59">
        <v>3357</v>
      </c>
      <c r="O78" s="59">
        <v>2836</v>
      </c>
      <c r="P78" s="59">
        <f t="shared" si="1385"/>
        <v>0</v>
      </c>
      <c r="Q78" s="59"/>
      <c r="R78" s="59"/>
      <c r="S78" s="59"/>
      <c r="T78" s="59"/>
      <c r="U78" s="59">
        <v>734</v>
      </c>
      <c r="V78" s="59">
        <f t="shared" si="1386"/>
        <v>1927.96900722189</v>
      </c>
      <c r="W78" s="59">
        <v>11660.549999999999</v>
      </c>
      <c r="X78" s="62">
        <f t="shared" si="1387"/>
        <v>0.64514718364633294</v>
      </c>
      <c r="Y78" s="62">
        <f t="shared" si="1388"/>
        <v>4.0038479364275101</v>
      </c>
      <c r="Z78" s="62">
        <f t="shared" si="1389"/>
        <v>0.80076958728550196</v>
      </c>
      <c r="AA78" s="59">
        <f t="shared" si="1390"/>
        <v>291.78601025312702</v>
      </c>
      <c r="AB78" s="59">
        <v>1617</v>
      </c>
      <c r="AC78" s="59">
        <f t="shared" si="1391"/>
        <v>113.603781625693</v>
      </c>
      <c r="AD78" s="59"/>
      <c r="AE78" s="59"/>
      <c r="AF78" s="59">
        <v>44</v>
      </c>
      <c r="AG78" s="59">
        <f t="shared" si="1392"/>
        <v>22</v>
      </c>
      <c r="AH78" s="59">
        <f t="shared" si="1377"/>
        <v>251.19728517003</v>
      </c>
      <c r="AI78" s="59">
        <v>1</v>
      </c>
      <c r="AJ78" s="59">
        <f t="shared" si="1393"/>
        <v>0.5</v>
      </c>
      <c r="AK78" s="59">
        <f t="shared" si="1378"/>
        <v>231.07355443062099</v>
      </c>
      <c r="AL78" s="338"/>
      <c r="AM78" s="59"/>
      <c r="AN78" s="59">
        <v>1</v>
      </c>
      <c r="AO78" s="59">
        <f t="shared" si="1394"/>
        <v>600</v>
      </c>
      <c r="AP78" s="59"/>
      <c r="AQ78" s="62">
        <v>86.189999999999998</v>
      </c>
      <c r="AR78" s="62" t="s">
        <v>442</v>
      </c>
      <c r="AS78" s="59">
        <v>300</v>
      </c>
      <c r="AT78" s="59" t="s">
        <v>441</v>
      </c>
      <c r="AU78" s="59">
        <v>300</v>
      </c>
      <c r="AV78" s="62">
        <v>14.9072115036474</v>
      </c>
      <c r="AW78" s="59">
        <f t="shared" si="1263"/>
        <v>380.85144784086299</v>
      </c>
      <c r="AX78" s="59">
        <v>2496.2565510356899</v>
      </c>
      <c r="AY78" s="59"/>
      <c r="AZ78" s="59">
        <f t="shared" si="1379"/>
        <v>4396.4810865422296</v>
      </c>
      <c r="BA78" s="59">
        <v>3836</v>
      </c>
      <c r="BB78" s="59">
        <f t="shared" si="1395"/>
        <v>3483.3240987307499</v>
      </c>
      <c r="BC78" s="59">
        <f t="shared" si="1396"/>
        <v>913.15698781147398</v>
      </c>
      <c r="BD78" s="43">
        <f t="shared" si="1242"/>
        <v>0.26215102641302002</v>
      </c>
      <c r="BG78" s="340"/>
    </row>
    <row r="79" ht="17" customHeight="1">
      <c r="A79" s="46">
        <v>47</v>
      </c>
      <c r="B79" s="82" t="s">
        <v>127</v>
      </c>
      <c r="C79" s="46" t="s">
        <v>78</v>
      </c>
      <c r="D79" s="46"/>
      <c r="E79" s="46"/>
      <c r="F79" s="46"/>
      <c r="G79" s="73">
        <v>48521</v>
      </c>
      <c r="H79" s="59">
        <f t="shared" si="1371"/>
        <v>29112.599999999999</v>
      </c>
      <c r="I79" s="59">
        <f t="shared" si="1372"/>
        <v>29112.599999999999</v>
      </c>
      <c r="J79" s="59">
        <f t="shared" si="1373"/>
        <v>0</v>
      </c>
      <c r="K79" s="59">
        <f t="shared" si="1374"/>
        <v>0</v>
      </c>
      <c r="L79" s="59">
        <f t="shared" si="1375"/>
        <v>0</v>
      </c>
      <c r="M79" s="59">
        <f t="shared" si="1376"/>
        <v>0</v>
      </c>
      <c r="N79" s="59">
        <v>3812</v>
      </c>
      <c r="O79" s="59">
        <v>1464</v>
      </c>
      <c r="P79" s="59">
        <f t="shared" si="1385"/>
        <v>0</v>
      </c>
      <c r="Q79" s="59"/>
      <c r="R79" s="59"/>
      <c r="S79" s="59"/>
      <c r="T79" s="59"/>
      <c r="U79" s="59">
        <v>1220</v>
      </c>
      <c r="V79" s="59">
        <f t="shared" si="1386"/>
        <v>1972.52339302626</v>
      </c>
      <c r="W79" s="59">
        <v>11061.799999999999</v>
      </c>
      <c r="X79" s="62">
        <f t="shared" si="1387"/>
        <v>0.741766203755999</v>
      </c>
      <c r="Y79" s="62">
        <f t="shared" si="1388"/>
        <v>3.88188507411627</v>
      </c>
      <c r="Z79" s="62">
        <f t="shared" si="1389"/>
        <v>0.77637701482325405</v>
      </c>
      <c r="AA79" s="59">
        <f t="shared" si="1390"/>
        <v>282.89779632545202</v>
      </c>
      <c r="AB79" s="59">
        <v>2514.3000000000002</v>
      </c>
      <c r="AC79" s="59">
        <f t="shared" si="1391"/>
        <v>176.64439588217601</v>
      </c>
      <c r="AD79" s="59"/>
      <c r="AE79" s="59"/>
      <c r="AF79" s="59">
        <v>92</v>
      </c>
      <c r="AG79" s="59">
        <f t="shared" si="1392"/>
        <v>46</v>
      </c>
      <c r="AH79" s="59">
        <f t="shared" si="1377"/>
        <v>525.23068717369802</v>
      </c>
      <c r="AI79" s="59">
        <v>1</v>
      </c>
      <c r="AJ79" s="59">
        <f t="shared" si="1393"/>
        <v>0.5</v>
      </c>
      <c r="AK79" s="59">
        <f t="shared" si="1378"/>
        <v>231.07355443062099</v>
      </c>
      <c r="AL79" s="338"/>
      <c r="AM79" s="59"/>
      <c r="AN79" s="59">
        <v>1</v>
      </c>
      <c r="AO79" s="59">
        <f t="shared" si="1394"/>
        <v>600</v>
      </c>
      <c r="AP79" s="59"/>
      <c r="AQ79" s="62">
        <v>84.799999999999997</v>
      </c>
      <c r="AR79" s="62" t="s">
        <v>442</v>
      </c>
      <c r="AS79" s="59">
        <v>300</v>
      </c>
      <c r="AT79" s="59" t="s">
        <v>441</v>
      </c>
      <c r="AU79" s="59">
        <v>300</v>
      </c>
      <c r="AV79" s="62">
        <v>5.2900415803129901</v>
      </c>
      <c r="AW79" s="59">
        <f t="shared" si="1263"/>
        <v>135.15069498461301</v>
      </c>
      <c r="AX79" s="59">
        <v>0</v>
      </c>
      <c r="AY79" s="59"/>
      <c r="AZ79" s="59">
        <f t="shared" si="1379"/>
        <v>4523.5205218228202</v>
      </c>
      <c r="BA79" s="59">
        <v>3231</v>
      </c>
      <c r="BB79" s="59">
        <f t="shared" si="1395"/>
        <v>2933.94686209569</v>
      </c>
      <c r="BC79" s="59">
        <f t="shared" si="1396"/>
        <v>1589.57365972713</v>
      </c>
      <c r="BD79" s="43">
        <f t="shared" si="1242"/>
        <v>0.54178679248188999</v>
      </c>
      <c r="BG79" s="340"/>
    </row>
    <row r="80" ht="17" customHeight="1">
      <c r="A80" s="46">
        <v>48</v>
      </c>
      <c r="B80" s="82" t="s">
        <v>128</v>
      </c>
      <c r="C80" s="46" t="s">
        <v>90</v>
      </c>
      <c r="D80" s="46">
        <v>2017</v>
      </c>
      <c r="E80" s="46"/>
      <c r="F80" s="46"/>
      <c r="G80" s="73">
        <v>33166</v>
      </c>
      <c r="H80" s="59">
        <f t="shared" si="1371"/>
        <v>23216.200000000001</v>
      </c>
      <c r="I80" s="59">
        <f t="shared" si="1372"/>
        <v>0</v>
      </c>
      <c r="J80" s="59">
        <f t="shared" si="1373"/>
        <v>23216.200000000001</v>
      </c>
      <c r="K80" s="59">
        <f t="shared" si="1374"/>
        <v>0</v>
      </c>
      <c r="L80" s="59">
        <f t="shared" si="1375"/>
        <v>0</v>
      </c>
      <c r="M80" s="59">
        <f t="shared" si="1376"/>
        <v>0</v>
      </c>
      <c r="N80" s="59">
        <v>2207</v>
      </c>
      <c r="O80" s="59">
        <v>2719</v>
      </c>
      <c r="P80" s="59">
        <f t="shared" si="1385"/>
        <v>0</v>
      </c>
      <c r="Q80" s="59"/>
      <c r="R80" s="59"/>
      <c r="S80" s="59"/>
      <c r="T80" s="59"/>
      <c r="U80" s="59">
        <v>825</v>
      </c>
      <c r="V80" s="59">
        <f t="shared" si="1386"/>
        <v>1350.1667068243501</v>
      </c>
      <c r="W80" s="59">
        <v>12729.27</v>
      </c>
      <c r="X80" s="62">
        <f t="shared" si="1387"/>
        <v>0.47269009943488999</v>
      </c>
      <c r="Y80" s="62">
        <f t="shared" si="1388"/>
        <v>1.6720466887310399</v>
      </c>
      <c r="Z80" s="62">
        <f>Y80*0.5</f>
        <v>0.83602334436551795</v>
      </c>
      <c r="AA80" s="59">
        <f t="shared" si="1390"/>
        <v>304.63184417107198</v>
      </c>
      <c r="AB80" s="59">
        <v>2510.4771999999998</v>
      </c>
      <c r="AC80" s="59">
        <f t="shared" si="1391"/>
        <v>176.375821648163</v>
      </c>
      <c r="AD80" s="59"/>
      <c r="AE80" s="59"/>
      <c r="AF80" s="59">
        <v>4</v>
      </c>
      <c r="AG80" s="59">
        <f t="shared" ref="AG80:AG83" si="1397">AF80</f>
        <v>4</v>
      </c>
      <c r="AH80" s="59">
        <f t="shared" si="1377"/>
        <v>45.6722336672781</v>
      </c>
      <c r="AI80" s="59">
        <v>1</v>
      </c>
      <c r="AJ80" s="59">
        <f t="shared" ref="AJ80:AJ83" si="1398">AI80</f>
        <v>1</v>
      </c>
      <c r="AK80" s="59">
        <f t="shared" si="1378"/>
        <v>462.147108861243</v>
      </c>
      <c r="AL80" s="338"/>
      <c r="AM80" s="59"/>
      <c r="AN80" s="59">
        <v>1</v>
      </c>
      <c r="AO80" s="59">
        <f t="shared" si="1394"/>
        <v>600</v>
      </c>
      <c r="AP80" s="59"/>
      <c r="AQ80" s="62">
        <v>83.090000000000003</v>
      </c>
      <c r="AR80" s="62" t="s">
        <v>442</v>
      </c>
      <c r="AS80" s="59">
        <v>600</v>
      </c>
      <c r="AT80" s="59" t="s">
        <v>441</v>
      </c>
      <c r="AU80" s="59">
        <v>800</v>
      </c>
      <c r="AV80" s="62">
        <v>5.6041343931813898</v>
      </c>
      <c r="AW80" s="59">
        <f t="shared" si="1263"/>
        <v>143.17518048333099</v>
      </c>
      <c r="AX80" s="59">
        <v>0</v>
      </c>
      <c r="AY80" s="59"/>
      <c r="AZ80" s="59">
        <f t="shared" si="1379"/>
        <v>4482.1688956554299</v>
      </c>
      <c r="BA80" s="59">
        <v>2634</v>
      </c>
      <c r="BB80" s="59">
        <f t="shared" si="1395"/>
        <v>2391.83411784588</v>
      </c>
      <c r="BC80" s="59">
        <f t="shared" si="1396"/>
        <v>2090.3347778095499</v>
      </c>
      <c r="BD80" s="43">
        <f t="shared" si="1242"/>
        <v>0.87394638374509703</v>
      </c>
      <c r="BG80" s="340"/>
    </row>
    <row r="81" ht="17" customHeight="1">
      <c r="A81" s="46">
        <v>49</v>
      </c>
      <c r="B81" s="82" t="s">
        <v>129</v>
      </c>
      <c r="C81" s="46" t="s">
        <v>78</v>
      </c>
      <c r="D81" s="46"/>
      <c r="E81" s="46"/>
      <c r="F81" s="46"/>
      <c r="G81" s="73">
        <v>42543</v>
      </c>
      <c r="H81" s="59">
        <f t="shared" si="1371"/>
        <v>25525.799999999999</v>
      </c>
      <c r="I81" s="59">
        <f t="shared" si="1372"/>
        <v>25525.799999999999</v>
      </c>
      <c r="J81" s="59">
        <f t="shared" si="1373"/>
        <v>0</v>
      </c>
      <c r="K81" s="59">
        <f t="shared" si="1374"/>
        <v>0</v>
      </c>
      <c r="L81" s="59">
        <f t="shared" si="1375"/>
        <v>0</v>
      </c>
      <c r="M81" s="59">
        <f t="shared" si="1376"/>
        <v>0</v>
      </c>
      <c r="N81" s="59">
        <v>5469</v>
      </c>
      <c r="O81" s="59">
        <v>2092</v>
      </c>
      <c r="P81" s="59">
        <f t="shared" si="1385"/>
        <v>546.60000000000002</v>
      </c>
      <c r="Q81" s="59">
        <v>911</v>
      </c>
      <c r="R81" s="59"/>
      <c r="S81" s="59"/>
      <c r="T81" s="59"/>
      <c r="U81" s="59">
        <v>1055</v>
      </c>
      <c r="V81" s="59">
        <f t="shared" si="1386"/>
        <v>2326.2154197585101</v>
      </c>
      <c r="W81" s="59">
        <v>11208.040000000001</v>
      </c>
      <c r="X81" s="62">
        <f t="shared" si="1387"/>
        <v>0.71816776450616604</v>
      </c>
      <c r="Y81" s="62">
        <f t="shared" si="1388"/>
        <v>3.4480670709469998</v>
      </c>
      <c r="Z81" s="62">
        <f>Y81*0.2</f>
        <v>0.68961341418940103</v>
      </c>
      <c r="AA81" s="59">
        <f t="shared" si="1390"/>
        <v>251.28270346213901</v>
      </c>
      <c r="AB81" s="59">
        <v>3855.0500000000002</v>
      </c>
      <c r="AC81" s="59">
        <f t="shared" si="1391"/>
        <v>270.839986614797</v>
      </c>
      <c r="AD81" s="59"/>
      <c r="AE81" s="59"/>
      <c r="AF81" s="59">
        <v>56</v>
      </c>
      <c r="AG81" s="59">
        <f>AF81*0.5</f>
        <v>28</v>
      </c>
      <c r="AH81" s="59">
        <f t="shared" si="1377"/>
        <v>319.705635670947</v>
      </c>
      <c r="AI81" s="59">
        <v>0.90379770458150599</v>
      </c>
      <c r="AJ81" s="59">
        <f>AI81*0.5</f>
        <v>0.45189885229075299</v>
      </c>
      <c r="AK81" s="59">
        <f t="shared" si="1378"/>
        <v>208.843748083885</v>
      </c>
      <c r="AL81" s="338"/>
      <c r="AM81" s="59"/>
      <c r="AN81" s="59">
        <v>1</v>
      </c>
      <c r="AO81" s="59">
        <f t="shared" si="1394"/>
        <v>600</v>
      </c>
      <c r="AP81" s="59"/>
      <c r="AQ81" s="62">
        <v>84.280000000000001</v>
      </c>
      <c r="AR81" s="62" t="s">
        <v>442</v>
      </c>
      <c r="AS81" s="59">
        <v>300</v>
      </c>
      <c r="AT81" s="59" t="s">
        <v>443</v>
      </c>
      <c r="AU81" s="59"/>
      <c r="AV81" s="62">
        <v>15.5705993022583</v>
      </c>
      <c r="AW81" s="59">
        <f t="shared" si="1263"/>
        <v>397.79976869343199</v>
      </c>
      <c r="AX81" s="59">
        <v>0</v>
      </c>
      <c r="AY81" s="59"/>
      <c r="AZ81" s="59">
        <f t="shared" si="1379"/>
        <v>4674.68726228371</v>
      </c>
      <c r="BA81" s="59">
        <v>3125</v>
      </c>
      <c r="BB81" s="59">
        <f t="shared" si="1395"/>
        <v>2837.6923379910299</v>
      </c>
      <c r="BC81" s="59">
        <f t="shared" si="1396"/>
        <v>1836.99492429267</v>
      </c>
      <c r="BD81" s="43">
        <f t="shared" si="1242"/>
        <v>0.64735521173277999</v>
      </c>
      <c r="BG81" s="340"/>
    </row>
    <row r="82" ht="17" customHeight="1">
      <c r="A82" s="46">
        <v>50</v>
      </c>
      <c r="B82" s="82" t="s">
        <v>130</v>
      </c>
      <c r="C82" s="46" t="s">
        <v>90</v>
      </c>
      <c r="D82" s="46">
        <v>2018</v>
      </c>
      <c r="E82" s="46"/>
      <c r="F82" s="46"/>
      <c r="G82" s="73">
        <v>48392</v>
      </c>
      <c r="H82" s="59">
        <f t="shared" si="1371"/>
        <v>38713.599999999999</v>
      </c>
      <c r="I82" s="59">
        <f t="shared" si="1372"/>
        <v>0</v>
      </c>
      <c r="J82" s="59">
        <f t="shared" si="1373"/>
        <v>0</v>
      </c>
      <c r="K82" s="59">
        <f t="shared" si="1374"/>
        <v>38713.599999999999</v>
      </c>
      <c r="L82" s="59">
        <f t="shared" si="1375"/>
        <v>0</v>
      </c>
      <c r="M82" s="59">
        <f t="shared" si="1376"/>
        <v>0</v>
      </c>
      <c r="N82" s="59">
        <v>5957</v>
      </c>
      <c r="O82" s="59">
        <v>2929</v>
      </c>
      <c r="P82" s="59">
        <f t="shared" si="1385"/>
        <v>0</v>
      </c>
      <c r="Q82" s="59"/>
      <c r="R82" s="59"/>
      <c r="S82" s="59"/>
      <c r="T82" s="59"/>
      <c r="U82" s="59">
        <v>0</v>
      </c>
      <c r="V82" s="59">
        <f t="shared" si="1386"/>
        <v>2439.7400729167598</v>
      </c>
      <c r="W82" s="59">
        <v>11556.799999999999</v>
      </c>
      <c r="X82" s="62">
        <f t="shared" si="1387"/>
        <v>0.66188910153589997</v>
      </c>
      <c r="Y82" s="62">
        <f t="shared" si="1388"/>
        <v>3.5973010779374599</v>
      </c>
      <c r="Z82" s="62">
        <f>Y82*0.5</f>
        <v>1.79865053896873</v>
      </c>
      <c r="AA82" s="59">
        <f t="shared" si="1390"/>
        <v>655.39585036488904</v>
      </c>
      <c r="AB82" s="59">
        <v>5715.8000000000002</v>
      </c>
      <c r="AC82" s="59">
        <f t="shared" si="1391"/>
        <v>401.568642557906</v>
      </c>
      <c r="AD82" s="59"/>
      <c r="AE82" s="59"/>
      <c r="AF82" s="59">
        <v>43</v>
      </c>
      <c r="AG82" s="59">
        <f t="shared" si="1397"/>
        <v>43</v>
      </c>
      <c r="AH82" s="59">
        <f t="shared" si="1377"/>
        <v>490.97651192324003</v>
      </c>
      <c r="AI82" s="59">
        <v>1</v>
      </c>
      <c r="AJ82" s="59">
        <f t="shared" si="1398"/>
        <v>1</v>
      </c>
      <c r="AK82" s="59">
        <f t="shared" si="1378"/>
        <v>462.147108861243</v>
      </c>
      <c r="AL82" s="338"/>
      <c r="AM82" s="59"/>
      <c r="AN82" s="59">
        <v>1</v>
      </c>
      <c r="AO82" s="59">
        <f t="shared" si="1394"/>
        <v>600</v>
      </c>
      <c r="AP82" s="59"/>
      <c r="AQ82" s="62">
        <v>83.549999999999997</v>
      </c>
      <c r="AR82" s="62" t="s">
        <v>442</v>
      </c>
      <c r="AS82" s="59">
        <v>600</v>
      </c>
      <c r="AT82" s="59" t="s">
        <v>441</v>
      </c>
      <c r="AU82" s="59">
        <v>800</v>
      </c>
      <c r="AV82" s="62">
        <v>5.3240315840445804</v>
      </c>
      <c r="AW82" s="59">
        <f t="shared" si="1263"/>
        <v>136.01907617918599</v>
      </c>
      <c r="AX82" s="59">
        <v>2074.3475441638798</v>
      </c>
      <c r="AY82" s="59"/>
      <c r="AZ82" s="59">
        <f t="shared" si="1379"/>
        <v>6585.8472628032196</v>
      </c>
      <c r="BA82" s="59">
        <v>4529</v>
      </c>
      <c r="BB82" s="59">
        <f t="shared" si="1395"/>
        <v>4112.61075160364</v>
      </c>
      <c r="BC82" s="59">
        <f t="shared" si="1396"/>
        <v>2473.23651119958</v>
      </c>
      <c r="BD82" s="43">
        <f t="shared" si="1242"/>
        <v>0.60137870092256696</v>
      </c>
      <c r="BG82" s="340"/>
    </row>
    <row r="83" ht="17" customHeight="1">
      <c r="A83" s="46">
        <v>51</v>
      </c>
      <c r="B83" s="82" t="s">
        <v>126</v>
      </c>
      <c r="C83" s="46" t="s">
        <v>90</v>
      </c>
      <c r="D83" s="46">
        <v>2020</v>
      </c>
      <c r="E83" s="46" t="s">
        <v>91</v>
      </c>
      <c r="F83" s="46"/>
      <c r="G83" s="73">
        <v>70275</v>
      </c>
      <c r="H83" s="59">
        <f t="shared" si="1371"/>
        <v>70275</v>
      </c>
      <c r="I83" s="59">
        <f t="shared" si="1372"/>
        <v>0</v>
      </c>
      <c r="J83" s="59">
        <f t="shared" si="1373"/>
        <v>0</v>
      </c>
      <c r="K83" s="59">
        <f t="shared" si="1374"/>
        <v>0</v>
      </c>
      <c r="L83" s="59">
        <f t="shared" si="1375"/>
        <v>0</v>
      </c>
      <c r="M83" s="59">
        <f t="shared" si="1376"/>
        <v>70275</v>
      </c>
      <c r="N83" s="59">
        <v>3982</v>
      </c>
      <c r="O83" s="59">
        <v>10471</v>
      </c>
      <c r="P83" s="59">
        <f t="shared" si="1385"/>
        <v>2007.5999999999999</v>
      </c>
      <c r="Q83" s="59">
        <v>3346</v>
      </c>
      <c r="R83" s="59"/>
      <c r="S83" s="59"/>
      <c r="T83" s="59"/>
      <c r="U83" s="59">
        <v>52</v>
      </c>
      <c r="V83" s="59">
        <f t="shared" si="1386"/>
        <v>3342.6671555671201</v>
      </c>
      <c r="W83" s="59">
        <v>11381.030000000001</v>
      </c>
      <c r="X83" s="62">
        <f t="shared" si="1387"/>
        <v>0.69025273437878198</v>
      </c>
      <c r="Y83" s="62">
        <f t="shared" si="1388"/>
        <v>5.12560972967652</v>
      </c>
      <c r="Z83" s="62">
        <f t="shared" ref="Z83:Z88" si="1399">Y83*1</f>
        <v>5.12560972967652</v>
      </c>
      <c r="AA83" s="59">
        <f t="shared" si="1390"/>
        <v>1867.6798381001699</v>
      </c>
      <c r="AB83" s="59">
        <v>3088.6799999999998</v>
      </c>
      <c r="AC83" s="59">
        <f t="shared" si="1391"/>
        <v>216.99797664294601</v>
      </c>
      <c r="AD83" s="59"/>
      <c r="AE83" s="59"/>
      <c r="AF83" s="59">
        <v>15</v>
      </c>
      <c r="AG83" s="59">
        <f t="shared" si="1397"/>
        <v>15</v>
      </c>
      <c r="AH83" s="59">
        <f t="shared" si="1377"/>
        <v>171.27087625229299</v>
      </c>
      <c r="AI83" s="59">
        <v>1</v>
      </c>
      <c r="AJ83" s="59">
        <f t="shared" si="1398"/>
        <v>1</v>
      </c>
      <c r="AK83" s="59">
        <f t="shared" si="1378"/>
        <v>462.147108861243</v>
      </c>
      <c r="AL83" s="338"/>
      <c r="AM83" s="59"/>
      <c r="AN83" s="59">
        <v>2</v>
      </c>
      <c r="AO83" s="59">
        <f t="shared" si="1394"/>
        <v>1200</v>
      </c>
      <c r="AP83" s="59"/>
      <c r="AQ83" s="62">
        <v>89.439999999999998</v>
      </c>
      <c r="AR83" s="62" t="s">
        <v>442</v>
      </c>
      <c r="AS83" s="59">
        <v>600</v>
      </c>
      <c r="AT83" s="59" t="s">
        <v>443</v>
      </c>
      <c r="AU83" s="59"/>
      <c r="AV83" s="62">
        <v>14.1910347996127</v>
      </c>
      <c r="AW83" s="59">
        <f t="shared" si="1263"/>
        <v>362.55446892064202</v>
      </c>
      <c r="AX83" s="59">
        <v>2101.76614691642</v>
      </c>
      <c r="AY83" s="59"/>
      <c r="AZ83" s="59">
        <f t="shared" si="1379"/>
        <v>8223.31742434441</v>
      </c>
      <c r="BA83" s="59">
        <v>17202</v>
      </c>
      <c r="BB83" s="59">
        <f t="shared" si="1395"/>
        <v>15620.474751399001</v>
      </c>
      <c r="BC83" s="59">
        <f t="shared" si="1396"/>
        <v>-7397.1573270545496</v>
      </c>
      <c r="BD83" s="43">
        <f t="shared" si="1242"/>
        <v>-0.47355521805712503</v>
      </c>
      <c r="BG83" s="340"/>
    </row>
    <row r="84" ht="17" customHeight="1">
      <c r="A84" s="46">
        <v>52</v>
      </c>
      <c r="B84" s="82" t="s">
        <v>135</v>
      </c>
      <c r="C84" s="46" t="s">
        <v>78</v>
      </c>
      <c r="D84" s="46"/>
      <c r="E84" s="46"/>
      <c r="F84" s="46" t="s">
        <v>146</v>
      </c>
      <c r="G84" s="73">
        <v>13183</v>
      </c>
      <c r="H84" s="59">
        <f t="shared" si="1371"/>
        <v>7909.8000000000002</v>
      </c>
      <c r="I84" s="59">
        <f t="shared" si="1372"/>
        <v>7909.8000000000002</v>
      </c>
      <c r="J84" s="59">
        <f t="shared" si="1373"/>
        <v>0</v>
      </c>
      <c r="K84" s="59">
        <f t="shared" si="1374"/>
        <v>0</v>
      </c>
      <c r="L84" s="59">
        <f t="shared" si="1375"/>
        <v>0</v>
      </c>
      <c r="M84" s="59">
        <f t="shared" si="1376"/>
        <v>0</v>
      </c>
      <c r="N84" s="59">
        <v>1522</v>
      </c>
      <c r="O84" s="59">
        <v>3775</v>
      </c>
      <c r="P84" s="59">
        <f t="shared" si="1385"/>
        <v>0</v>
      </c>
      <c r="Q84" s="59"/>
      <c r="R84" s="59"/>
      <c r="S84" s="59"/>
      <c r="T84" s="59"/>
      <c r="U84" s="59">
        <v>24</v>
      </c>
      <c r="V84" s="59">
        <f t="shared" si="1386"/>
        <v>572.92394862258197</v>
      </c>
      <c r="W84" s="59">
        <v>11189.58</v>
      </c>
      <c r="X84" s="62">
        <f t="shared" si="1387"/>
        <v>0.72114661563138405</v>
      </c>
      <c r="Y84" s="62">
        <f t="shared" si="1388"/>
        <v>1.06044609828595</v>
      </c>
      <c r="Z84" s="62">
        <f>Y84*0.2</f>
        <v>0.21208921965718999</v>
      </c>
      <c r="AA84" s="59">
        <f t="shared" si="1390"/>
        <v>77.281490461258798</v>
      </c>
      <c r="AB84" s="59">
        <v>940.5</v>
      </c>
      <c r="AC84" s="59">
        <f t="shared" si="1391"/>
        <v>66.075668904739501</v>
      </c>
      <c r="AD84" s="59"/>
      <c r="AE84" s="59"/>
      <c r="AF84" s="59">
        <v>14</v>
      </c>
      <c r="AG84" s="59">
        <f>AF84*0.5</f>
        <v>7</v>
      </c>
      <c r="AH84" s="59">
        <f t="shared" si="1377"/>
        <v>79.926408917736694</v>
      </c>
      <c r="AI84" s="59">
        <v>1</v>
      </c>
      <c r="AJ84" s="59">
        <f>AI84*0.5</f>
        <v>0.5</v>
      </c>
      <c r="AK84" s="59">
        <f t="shared" si="1378"/>
        <v>231.07355443062099</v>
      </c>
      <c r="AL84" s="338"/>
      <c r="AM84" s="59"/>
      <c r="AN84" s="59">
        <v>1</v>
      </c>
      <c r="AO84" s="59">
        <f t="shared" si="1394"/>
        <v>600</v>
      </c>
      <c r="AP84" s="59"/>
      <c r="AQ84" s="62">
        <v>80.019999999999996</v>
      </c>
      <c r="AR84" s="62" t="s">
        <v>442</v>
      </c>
      <c r="AS84" s="59">
        <v>300</v>
      </c>
      <c r="AT84" s="59" t="s">
        <v>443</v>
      </c>
      <c r="AU84" s="59"/>
      <c r="AV84" s="62">
        <v>6.2471487905969898</v>
      </c>
      <c r="AW84" s="59">
        <f t="shared" si="1263"/>
        <v>159.602998937395</v>
      </c>
      <c r="AX84" s="59">
        <v>37.710572076731403</v>
      </c>
      <c r="AY84" s="59"/>
      <c r="AZ84" s="59">
        <f t="shared" si="1379"/>
        <v>2086.88407027433</v>
      </c>
      <c r="BA84" s="59">
        <v>7641</v>
      </c>
      <c r="BB84" s="59">
        <f t="shared" si="1395"/>
        <v>6938.49828946863</v>
      </c>
      <c r="BC84" s="59">
        <f t="shared" si="1396"/>
        <v>-4851.6142191942999</v>
      </c>
      <c r="BD84" s="43">
        <f t="shared" ref="BD84:BD100" si="1400">BC84/BB84</f>
        <v>-0.69923116167055399</v>
      </c>
      <c r="BG84" s="340"/>
    </row>
    <row r="85" ht="17" customHeight="1">
      <c r="A85" s="46">
        <v>53</v>
      </c>
      <c r="B85" s="82" t="s">
        <v>133</v>
      </c>
      <c r="C85" s="46" t="s">
        <v>93</v>
      </c>
      <c r="D85" s="46">
        <v>2019</v>
      </c>
      <c r="E85" s="46" t="s">
        <v>94</v>
      </c>
      <c r="F85" s="46" t="s">
        <v>146</v>
      </c>
      <c r="G85" s="73">
        <v>111848</v>
      </c>
      <c r="H85" s="59">
        <f t="shared" si="1371"/>
        <v>100663.2</v>
      </c>
      <c r="I85" s="59">
        <f t="shared" si="1372"/>
        <v>0</v>
      </c>
      <c r="J85" s="59">
        <f t="shared" si="1373"/>
        <v>0</v>
      </c>
      <c r="K85" s="59">
        <f t="shared" si="1374"/>
        <v>0</v>
      </c>
      <c r="L85" s="59">
        <f t="shared" si="1375"/>
        <v>100663.2</v>
      </c>
      <c r="M85" s="59">
        <f t="shared" si="1376"/>
        <v>0</v>
      </c>
      <c r="N85" s="59">
        <v>13742</v>
      </c>
      <c r="O85" s="59">
        <v>12127</v>
      </c>
      <c r="P85" s="59">
        <f t="shared" si="1385"/>
        <v>0</v>
      </c>
      <c r="Q85" s="59"/>
      <c r="R85" s="59"/>
      <c r="S85" s="59"/>
      <c r="T85" s="59"/>
      <c r="U85" s="59">
        <v>1600</v>
      </c>
      <c r="V85" s="59">
        <f t="shared" si="1386"/>
        <v>6327.9493598672998</v>
      </c>
      <c r="W85" s="59">
        <v>11857.92</v>
      </c>
      <c r="X85" s="62">
        <f t="shared" si="1387"/>
        <v>0.61329800452475602</v>
      </c>
      <c r="Y85" s="62">
        <f t="shared" si="1388"/>
        <v>7.7024096388264098</v>
      </c>
      <c r="Z85" s="62">
        <f t="shared" si="1399"/>
        <v>7.7024096388264098</v>
      </c>
      <c r="AA85" s="59">
        <f t="shared" si="1390"/>
        <v>2806.61929915065</v>
      </c>
      <c r="AB85" s="59">
        <v>7685.3100000000004</v>
      </c>
      <c r="AC85" s="59">
        <f t="shared" si="1391"/>
        <v>539.93832960157795</v>
      </c>
      <c r="AD85" s="59"/>
      <c r="AE85" s="59"/>
      <c r="AF85" s="59">
        <v>42</v>
      </c>
      <c r="AG85" s="59">
        <f t="shared" ref="AG85:AG88" si="1401">AF85</f>
        <v>42</v>
      </c>
      <c r="AH85" s="59">
        <f t="shared" si="1377"/>
        <v>479.55845350641999</v>
      </c>
      <c r="AI85" s="59">
        <v>0.95769451504468295</v>
      </c>
      <c r="AJ85" s="59">
        <f t="shared" ref="AJ85:AJ88" si="1402">AI85</f>
        <v>0.95769451504468295</v>
      </c>
      <c r="AK85" s="59">
        <f t="shared" si="1378"/>
        <v>442.59575130016998</v>
      </c>
      <c r="AL85" s="338"/>
      <c r="AM85" s="59"/>
      <c r="AN85" s="59">
        <v>2</v>
      </c>
      <c r="AO85" s="59">
        <f t="shared" si="1394"/>
        <v>1200</v>
      </c>
      <c r="AP85" s="59">
        <f t="shared" ref="AP85:AP88" si="1403">5000+BF85+N85/470414*13615</f>
        <v>7934.9531019124497</v>
      </c>
      <c r="AQ85" s="62">
        <v>78.299999999999997</v>
      </c>
      <c r="AR85" s="62" t="s">
        <v>440</v>
      </c>
      <c r="AS85" s="59"/>
      <c r="AT85" s="59" t="s">
        <v>441</v>
      </c>
      <c r="AU85" s="59">
        <v>800</v>
      </c>
      <c r="AV85" s="62">
        <v>6.3131963709028502</v>
      </c>
      <c r="AW85" s="59">
        <f t="shared" si="1263"/>
        <v>161.290391417184</v>
      </c>
      <c r="AX85" s="59">
        <v>0</v>
      </c>
      <c r="AY85" s="59"/>
      <c r="AZ85" s="59">
        <f t="shared" si="1379"/>
        <v>20692.904686755701</v>
      </c>
      <c r="BA85" s="59">
        <v>22350</v>
      </c>
      <c r="BB85" s="59">
        <f t="shared" si="1395"/>
        <v>20295.175601311901</v>
      </c>
      <c r="BC85" s="59">
        <f t="shared" si="1396"/>
        <v>397.72908544388002</v>
      </c>
      <c r="BD85" s="43">
        <f t="shared" si="1400"/>
        <v>1.9597223165596599e-002</v>
      </c>
      <c r="BF85" s="341">
        <v>2537.22401646856</v>
      </c>
      <c r="BG85" s="339"/>
    </row>
    <row r="86" ht="17" customHeight="1">
      <c r="A86" s="46">
        <v>54</v>
      </c>
      <c r="B86" s="82" t="s">
        <v>131</v>
      </c>
      <c r="C86" s="46" t="s">
        <v>93</v>
      </c>
      <c r="D86" s="46">
        <v>2019</v>
      </c>
      <c r="E86" s="46" t="s">
        <v>94</v>
      </c>
      <c r="F86" s="46"/>
      <c r="G86" s="73">
        <v>154382</v>
      </c>
      <c r="H86" s="59">
        <f t="shared" si="1371"/>
        <v>138943.79999999999</v>
      </c>
      <c r="I86" s="59">
        <f t="shared" si="1372"/>
        <v>0</v>
      </c>
      <c r="J86" s="59">
        <f t="shared" si="1373"/>
        <v>0</v>
      </c>
      <c r="K86" s="59">
        <f t="shared" si="1374"/>
        <v>0</v>
      </c>
      <c r="L86" s="59">
        <f t="shared" si="1375"/>
        <v>138943.79999999999</v>
      </c>
      <c r="M86" s="59">
        <f t="shared" si="1376"/>
        <v>0</v>
      </c>
      <c r="N86" s="59">
        <v>15403</v>
      </c>
      <c r="O86" s="59">
        <v>10660</v>
      </c>
      <c r="P86" s="59">
        <f t="shared" si="1385"/>
        <v>0</v>
      </c>
      <c r="Q86" s="59"/>
      <c r="R86" s="59"/>
      <c r="S86" s="59"/>
      <c r="T86" s="59"/>
      <c r="U86" s="59">
        <v>2988</v>
      </c>
      <c r="V86" s="59">
        <f t="shared" si="1386"/>
        <v>8114.5689905181098</v>
      </c>
      <c r="W86" s="59">
        <v>10382.4</v>
      </c>
      <c r="X86" s="62">
        <f t="shared" si="1387"/>
        <v>0.85139954365162596</v>
      </c>
      <c r="Y86" s="62">
        <f t="shared" si="1388"/>
        <v>14.4554871518891</v>
      </c>
      <c r="Z86" s="62">
        <f t="shared" si="1399"/>
        <v>14.4554871518891</v>
      </c>
      <c r="AA86" s="59">
        <f t="shared" si="1390"/>
        <v>5267.3190756572103</v>
      </c>
      <c r="AB86" s="59">
        <v>14924.362800000001</v>
      </c>
      <c r="AC86" s="59">
        <f t="shared" si="1391"/>
        <v>1048.5244603796</v>
      </c>
      <c r="AD86" s="59"/>
      <c r="AE86" s="59"/>
      <c r="AF86" s="59">
        <v>36</v>
      </c>
      <c r="AG86" s="59">
        <f t="shared" si="1401"/>
        <v>36</v>
      </c>
      <c r="AH86" s="59">
        <f t="shared" si="1377"/>
        <v>411.05010300550299</v>
      </c>
      <c r="AI86" s="59">
        <v>1</v>
      </c>
      <c r="AJ86" s="59">
        <f t="shared" si="1402"/>
        <v>1</v>
      </c>
      <c r="AK86" s="59">
        <f t="shared" si="1378"/>
        <v>462.147108861243</v>
      </c>
      <c r="AL86" s="338"/>
      <c r="AM86" s="59"/>
      <c r="AN86" s="59">
        <v>2</v>
      </c>
      <c r="AO86" s="59">
        <f t="shared" si="1394"/>
        <v>1200</v>
      </c>
      <c r="AP86" s="59">
        <f t="shared" si="1403"/>
        <v>8950.4201719580906</v>
      </c>
      <c r="AQ86" s="62">
        <v>86.939999999999998</v>
      </c>
      <c r="AR86" s="62" t="s">
        <v>442</v>
      </c>
      <c r="AS86" s="59">
        <v>600</v>
      </c>
      <c r="AT86" s="59" t="s">
        <v>443</v>
      </c>
      <c r="AU86" s="59"/>
      <c r="AV86" s="62">
        <v>14.5022583428805</v>
      </c>
      <c r="AW86" s="59">
        <f t="shared" si="1263"/>
        <v>370.50564993304698</v>
      </c>
      <c r="AX86" s="59">
        <v>2178.7871225355598</v>
      </c>
      <c r="AY86" s="59"/>
      <c r="AZ86" s="59">
        <f t="shared" si="1379"/>
        <v>26424.535560312801</v>
      </c>
      <c r="BA86" s="59">
        <v>28609</v>
      </c>
      <c r="BB86" s="59">
        <f t="shared" si="1395"/>
        <v>25978.732831227298</v>
      </c>
      <c r="BC86" s="59">
        <f t="shared" si="1396"/>
        <v>445.80272908545902</v>
      </c>
      <c r="BD86" s="43">
        <f t="shared" si="1400"/>
        <v>1.7160295383983799e-002</v>
      </c>
      <c r="BF86" s="341">
        <v>3504.6174428726499</v>
      </c>
      <c r="BG86" s="339"/>
    </row>
    <row r="87" ht="17" customHeight="1">
      <c r="A87" s="46">
        <v>55</v>
      </c>
      <c r="B87" s="82" t="s">
        <v>132</v>
      </c>
      <c r="C87" s="46" t="s">
        <v>93</v>
      </c>
      <c r="D87" s="46">
        <v>2019</v>
      </c>
      <c r="E87" s="46" t="s">
        <v>94</v>
      </c>
      <c r="F87" s="46"/>
      <c r="G87" s="73">
        <v>105952</v>
      </c>
      <c r="H87" s="59">
        <f t="shared" si="1371"/>
        <v>95356.800000000003</v>
      </c>
      <c r="I87" s="59">
        <f t="shared" si="1372"/>
        <v>0</v>
      </c>
      <c r="J87" s="59">
        <f t="shared" si="1373"/>
        <v>0</v>
      </c>
      <c r="K87" s="59">
        <f t="shared" si="1374"/>
        <v>0</v>
      </c>
      <c r="L87" s="59">
        <f t="shared" si="1375"/>
        <v>95356.800000000003</v>
      </c>
      <c r="M87" s="59">
        <f t="shared" si="1376"/>
        <v>0</v>
      </c>
      <c r="N87" s="59">
        <v>10395</v>
      </c>
      <c r="O87" s="59">
        <v>12905</v>
      </c>
      <c r="P87" s="59">
        <f t="shared" si="1385"/>
        <v>1967.4000000000001</v>
      </c>
      <c r="Q87" s="59">
        <v>3279</v>
      </c>
      <c r="R87" s="59"/>
      <c r="S87" s="59"/>
      <c r="T87" s="59"/>
      <c r="U87" s="59">
        <v>1689</v>
      </c>
      <c r="V87" s="59">
        <f t="shared" si="1386"/>
        <v>5877.4898987755496</v>
      </c>
      <c r="W87" s="59">
        <v>10793.52</v>
      </c>
      <c r="X87" s="62">
        <f t="shared" si="1387"/>
        <v>0.78505797948045997</v>
      </c>
      <c r="Y87" s="62">
        <f t="shared" si="1388"/>
        <v>9.1339140738613107</v>
      </c>
      <c r="Z87" s="62">
        <f t="shared" si="1399"/>
        <v>9.1339140738613107</v>
      </c>
      <c r="AA87" s="59">
        <f t="shared" si="1390"/>
        <v>3328.23372406208</v>
      </c>
      <c r="AB87" s="59">
        <v>8815.4799999999996</v>
      </c>
      <c r="AC87" s="59">
        <f t="shared" si="1391"/>
        <v>619.33943404184299</v>
      </c>
      <c r="AD87" s="59"/>
      <c r="AE87" s="59"/>
      <c r="AF87" s="59">
        <v>9</v>
      </c>
      <c r="AG87" s="59">
        <f t="shared" si="1401"/>
        <v>9</v>
      </c>
      <c r="AH87" s="59">
        <f t="shared" si="1377"/>
        <v>102.762525751376</v>
      </c>
      <c r="AI87" s="59">
        <v>0.88889332481635297</v>
      </c>
      <c r="AJ87" s="59">
        <f t="shared" si="1402"/>
        <v>0.88889332481635297</v>
      </c>
      <c r="AK87" s="59">
        <f t="shared" si="1378"/>
        <v>410.79948014993499</v>
      </c>
      <c r="AL87" s="338"/>
      <c r="AM87" s="59"/>
      <c r="AN87" s="59">
        <v>2</v>
      </c>
      <c r="AO87" s="59">
        <f t="shared" si="1394"/>
        <v>1200</v>
      </c>
      <c r="AP87" s="59">
        <f t="shared" si="1403"/>
        <v>8189.1806949617703</v>
      </c>
      <c r="AQ87" s="62">
        <v>78.390000000000001</v>
      </c>
      <c r="AR87" s="62" t="s">
        <v>440</v>
      </c>
      <c r="AS87" s="59"/>
      <c r="AT87" s="59" t="s">
        <v>441</v>
      </c>
      <c r="AU87" s="59">
        <v>800</v>
      </c>
      <c r="AV87" s="62">
        <v>6.3315157121502397</v>
      </c>
      <c r="AW87" s="59">
        <f t="shared" si="1263"/>
        <v>161.75841641541001</v>
      </c>
      <c r="AX87" s="59">
        <v>1849.7128611026601</v>
      </c>
      <c r="AY87" s="59"/>
      <c r="AZ87" s="59">
        <f t="shared" si="1379"/>
        <v>20689.564174158</v>
      </c>
      <c r="BA87" s="59">
        <v>22453</v>
      </c>
      <c r="BB87" s="59">
        <f t="shared" si="1395"/>
        <v>20388.705940772099</v>
      </c>
      <c r="BC87" s="59">
        <f t="shared" si="1396"/>
        <v>300.85823338590899</v>
      </c>
      <c r="BD87" s="43">
        <f t="shared" si="1400"/>
        <v>1.4756122054037301e-002</v>
      </c>
      <c r="BF87" s="341">
        <v>2888.32246157586</v>
      </c>
      <c r="BG87" s="339"/>
    </row>
    <row r="88" ht="17" customHeight="1">
      <c r="A88" s="46">
        <v>56</v>
      </c>
      <c r="B88" s="82" t="s">
        <v>134</v>
      </c>
      <c r="C88" s="46" t="s">
        <v>93</v>
      </c>
      <c r="D88" s="46">
        <v>2019</v>
      </c>
      <c r="E88" s="46" t="s">
        <v>94</v>
      </c>
      <c r="F88" s="46" t="s">
        <v>146</v>
      </c>
      <c r="G88" s="73">
        <v>97676</v>
      </c>
      <c r="H88" s="59">
        <f t="shared" si="1371"/>
        <v>87908.399999999994</v>
      </c>
      <c r="I88" s="59">
        <f t="shared" si="1372"/>
        <v>0</v>
      </c>
      <c r="J88" s="59">
        <f t="shared" si="1373"/>
        <v>0</v>
      </c>
      <c r="K88" s="59">
        <f t="shared" si="1374"/>
        <v>0</v>
      </c>
      <c r="L88" s="59">
        <f t="shared" si="1375"/>
        <v>87908.399999999994</v>
      </c>
      <c r="M88" s="59">
        <f t="shared" si="1376"/>
        <v>0</v>
      </c>
      <c r="N88" s="59">
        <v>8288</v>
      </c>
      <c r="O88" s="59">
        <v>10686</v>
      </c>
      <c r="P88" s="59">
        <f t="shared" si="1385"/>
        <v>790.20000000000005</v>
      </c>
      <c r="Q88" s="59">
        <v>1317</v>
      </c>
      <c r="R88" s="59"/>
      <c r="S88" s="59"/>
      <c r="T88" s="59"/>
      <c r="U88" s="59">
        <v>662</v>
      </c>
      <c r="V88" s="59">
        <f t="shared" si="1386"/>
        <v>4689.0360384646501</v>
      </c>
      <c r="W88" s="59">
        <v>11451.93</v>
      </c>
      <c r="X88" s="62">
        <f t="shared" si="1387"/>
        <v>0.67881175145473105</v>
      </c>
      <c r="Y88" s="62">
        <f t="shared" si="1388"/>
        <v>7.1929608431149203</v>
      </c>
      <c r="Z88" s="62">
        <f t="shared" si="1399"/>
        <v>7.1929608431149203</v>
      </c>
      <c r="AA88" s="59">
        <f t="shared" si="1390"/>
        <v>2620.9853366611101</v>
      </c>
      <c r="AB88" s="59">
        <v>15608.370000000001</v>
      </c>
      <c r="AC88" s="59">
        <f t="shared" si="1391"/>
        <v>1096.57999815276</v>
      </c>
      <c r="AD88" s="59">
        <v>1</v>
      </c>
      <c r="AE88" s="59"/>
      <c r="AF88" s="59">
        <v>36</v>
      </c>
      <c r="AG88" s="59">
        <f t="shared" si="1401"/>
        <v>36</v>
      </c>
      <c r="AH88" s="59">
        <f t="shared" si="1377"/>
        <v>411.05010300550299</v>
      </c>
      <c r="AI88" s="59">
        <v>1</v>
      </c>
      <c r="AJ88" s="59">
        <f t="shared" si="1402"/>
        <v>1</v>
      </c>
      <c r="AK88" s="59">
        <f t="shared" si="1378"/>
        <v>462.147108861243</v>
      </c>
      <c r="AL88" s="338"/>
      <c r="AM88" s="59"/>
      <c r="AN88" s="59">
        <v>2</v>
      </c>
      <c r="AO88" s="59">
        <f t="shared" si="1394"/>
        <v>1200</v>
      </c>
      <c r="AP88" s="59">
        <f t="shared" si="1403"/>
        <v>8409.8151230405892</v>
      </c>
      <c r="AQ88" s="62">
        <v>78.180000000000007</v>
      </c>
      <c r="AR88" s="62" t="s">
        <v>440</v>
      </c>
      <c r="AS88" s="59"/>
      <c r="AT88" s="59" t="s">
        <v>443</v>
      </c>
      <c r="AU88" s="59"/>
      <c r="AV88" s="62">
        <v>5.9724478428805803</v>
      </c>
      <c r="AW88" s="59">
        <f t="shared" si="1263"/>
        <v>152.584902116574</v>
      </c>
      <c r="AX88" s="59">
        <v>0</v>
      </c>
      <c r="AY88" s="59"/>
      <c r="AZ88" s="59">
        <f t="shared" si="1379"/>
        <v>19042.198610302399</v>
      </c>
      <c r="BA88" s="59">
        <v>20706</v>
      </c>
      <c r="BB88" s="59">
        <f t="shared" si="1395"/>
        <v>18802.322416141498</v>
      </c>
      <c r="BC88" s="59">
        <f t="shared" si="1396"/>
        <v>239.87619416088299</v>
      </c>
      <c r="BD88" s="43">
        <f t="shared" si="1400"/>
        <v>1.2757796023907799e-002</v>
      </c>
      <c r="BF88" s="341">
        <v>3169.9389288797001</v>
      </c>
      <c r="BG88" s="339"/>
    </row>
    <row r="89" s="5" customFormat="1" ht="17" customHeight="1">
      <c r="A89" s="65"/>
      <c r="B89" s="66" t="s">
        <v>136</v>
      </c>
      <c r="C89" s="67">
        <v>1</v>
      </c>
      <c r="D89" s="67"/>
      <c r="E89" s="67"/>
      <c r="F89" s="68"/>
      <c r="G89" s="69">
        <f t="shared" ref="G89:P89" si="1404">G90+G91</f>
        <v>573982</v>
      </c>
      <c r="H89" s="69">
        <f t="shared" si="1404"/>
        <v>521571.29999999999</v>
      </c>
      <c r="I89" s="69">
        <f t="shared" si="1404"/>
        <v>0</v>
      </c>
      <c r="J89" s="69">
        <f t="shared" si="1404"/>
        <v>0</v>
      </c>
      <c r="K89" s="69">
        <f t="shared" si="1404"/>
        <v>72706.399999999994</v>
      </c>
      <c r="L89" s="69">
        <f t="shared" si="1404"/>
        <v>308106.90000000002</v>
      </c>
      <c r="M89" s="69">
        <f t="shared" si="1404"/>
        <v>140758</v>
      </c>
      <c r="N89" s="69">
        <f t="shared" si="1404"/>
        <v>70367</v>
      </c>
      <c r="O89" s="69">
        <f t="shared" si="1404"/>
        <v>37005</v>
      </c>
      <c r="P89" s="69">
        <f t="shared" si="1404"/>
        <v>12735.4</v>
      </c>
      <c r="Q89" s="59">
        <v>9011</v>
      </c>
      <c r="R89" s="69">
        <f t="shared" ref="R89:V89" si="1405">R90+R91</f>
        <v>9161</v>
      </c>
      <c r="S89" s="69">
        <f t="shared" si="1405"/>
        <v>0</v>
      </c>
      <c r="T89" s="69">
        <f t="shared" si="1405"/>
        <v>0</v>
      </c>
      <c r="U89" s="69">
        <f t="shared" si="1405"/>
        <v>10586</v>
      </c>
      <c r="V89" s="69">
        <f t="shared" si="1405"/>
        <v>35949.145473803001</v>
      </c>
      <c r="W89" s="69"/>
      <c r="X89" s="69">
        <f t="shared" ref="X89:AM89" si="1406">X90+X91</f>
        <v>3.9161048374864098</v>
      </c>
      <c r="Y89" s="69">
        <f t="shared" si="1406"/>
        <v>32.265686311001097</v>
      </c>
      <c r="Z89" s="69">
        <f t="shared" si="1406"/>
        <v>29.5466655301258</v>
      </c>
      <c r="AA89" s="69">
        <f t="shared" si="1406"/>
        <v>10766.2725810355</v>
      </c>
      <c r="AB89" s="69">
        <f t="shared" si="1406"/>
        <v>27284.931400000001</v>
      </c>
      <c r="AC89" s="69">
        <f t="shared" si="1406"/>
        <v>1916.92726557675</v>
      </c>
      <c r="AD89" s="69">
        <f t="shared" si="1406"/>
        <v>1</v>
      </c>
      <c r="AE89" s="69">
        <f t="shared" si="1406"/>
        <v>0</v>
      </c>
      <c r="AF89" s="69">
        <f t="shared" si="1406"/>
        <v>244</v>
      </c>
      <c r="AG89" s="69">
        <f t="shared" si="1406"/>
        <v>244</v>
      </c>
      <c r="AH89" s="69">
        <f t="shared" si="1406"/>
        <v>2786.0062537039598</v>
      </c>
      <c r="AI89" s="69">
        <f t="shared" si="1406"/>
        <v>7.8111382952869404</v>
      </c>
      <c r="AJ89" s="69">
        <f t="shared" si="1406"/>
        <v>7.8111382952869404</v>
      </c>
      <c r="AK89" s="69">
        <f t="shared" si="1406"/>
        <v>3609.8949800821902</v>
      </c>
      <c r="AL89" s="69">
        <f t="shared" si="1406"/>
        <v>0</v>
      </c>
      <c r="AM89" s="69">
        <f t="shared" si="1406"/>
        <v>100</v>
      </c>
      <c r="AN89" s="69">
        <v>14</v>
      </c>
      <c r="AO89" s="69">
        <f t="shared" ref="AO89:AR89" si="1407">AO90+AO91</f>
        <v>8400</v>
      </c>
      <c r="AP89" s="69">
        <f t="shared" si="1407"/>
        <v>21892.630851939401</v>
      </c>
      <c r="AQ89" s="69">
        <f t="shared" si="1407"/>
        <v>609.00999999999999</v>
      </c>
      <c r="AR89" s="69">
        <f t="shared" si="1407"/>
        <v>0</v>
      </c>
      <c r="AS89" s="69">
        <v>2400</v>
      </c>
      <c r="AT89" s="69"/>
      <c r="AU89" s="69">
        <v>2400</v>
      </c>
      <c r="AV89" s="71">
        <f t="shared" ref="AV89:BC89" si="1408">AV90+AV91</f>
        <v>64.167557398156305</v>
      </c>
      <c r="AW89" s="71">
        <v>1639.3614012600599</v>
      </c>
      <c r="AX89" s="69">
        <f t="shared" si="1408"/>
        <v>17775.372054605901</v>
      </c>
      <c r="AY89" s="71">
        <f t="shared" si="1408"/>
        <v>0</v>
      </c>
      <c r="AZ89" s="71">
        <f t="shared" si="1408"/>
        <v>91860.238807400805</v>
      </c>
      <c r="BA89" s="71">
        <f t="shared" si="1408"/>
        <v>116433</v>
      </c>
      <c r="BB89" s="69">
        <f t="shared" si="1408"/>
        <v>105728.330236579</v>
      </c>
      <c r="BC89" s="69">
        <f t="shared" si="1408"/>
        <v>-13868.091429178299</v>
      </c>
      <c r="BD89" s="336">
        <f t="shared" si="1400"/>
        <v>-0.13116722261807101</v>
      </c>
      <c r="BG89" s="340"/>
    </row>
    <row r="90" s="5" customFormat="1" ht="17" customHeight="1">
      <c r="A90" s="44"/>
      <c r="B90" s="72" t="s">
        <v>137</v>
      </c>
      <c r="C90" s="46">
        <v>2</v>
      </c>
      <c r="D90" s="46"/>
      <c r="E90" s="46"/>
      <c r="F90" s="46"/>
      <c r="G90" s="73"/>
      <c r="H90" s="59">
        <f t="shared" ref="H90:H99" si="1409">SUM(I90:M90)</f>
        <v>0</v>
      </c>
      <c r="I90" s="59">
        <f t="shared" ref="I90:I99" si="1410">IF(D90="",G90*0.6,0)</f>
        <v>0</v>
      </c>
      <c r="J90" s="59">
        <f t="shared" ref="J90:J99" si="1411">IF(D90=2017,G90*0.7,0)</f>
        <v>0</v>
      </c>
      <c r="K90" s="59">
        <f t="shared" ref="K90:K99" si="1412">IF(D90=2018,G90*0.8,0)</f>
        <v>0</v>
      </c>
      <c r="L90" s="59">
        <f t="shared" ref="L90:L99" si="1413">IF(D90=2019,G90*0.9,0)</f>
        <v>0</v>
      </c>
      <c r="M90" s="59">
        <f t="shared" ref="M90:M99" si="1414">IF(D90=2020,G90*1,0)</f>
        <v>0</v>
      </c>
      <c r="N90" s="59"/>
      <c r="O90" s="59"/>
      <c r="P90" s="59">
        <f>L90*0.4+M90*0.6+N90*0.8+O90*1</f>
        <v>0</v>
      </c>
      <c r="Q90" s="59"/>
      <c r="R90" s="59"/>
      <c r="S90" s="59"/>
      <c r="T90" s="59"/>
      <c r="U90" s="59"/>
      <c r="V90" s="59">
        <f>H90/$H$9*134866+N90/$N$9*202299+P90/$P$9*100000+U90/$U$9*34867</f>
        <v>0</v>
      </c>
      <c r="W90" s="59"/>
      <c r="X90" s="62"/>
      <c r="Y90" s="62"/>
      <c r="Z90" s="62"/>
      <c r="AA90" s="59"/>
      <c r="AB90" s="59"/>
      <c r="AC90" s="59"/>
      <c r="AD90" s="59"/>
      <c r="AE90" s="59"/>
      <c r="AF90" s="59"/>
      <c r="AG90" s="59">
        <f t="shared" ref="AG90:AG99" si="1415">AF90</f>
        <v>0</v>
      </c>
      <c r="AH90" s="59">
        <f t="shared" ref="AH90:AH99" si="1416">AG90/$AG$9*40459.89</f>
        <v>0</v>
      </c>
      <c r="AI90" s="59"/>
      <c r="AJ90" s="59">
        <f t="shared" ref="AJ90:AJ99" si="1417">AI90</f>
        <v>0</v>
      </c>
      <c r="AK90" s="59">
        <f t="shared" ref="AK90:AK99" si="1418">AJ90/$AJ$9*40459.89</f>
        <v>0</v>
      </c>
      <c r="AL90" s="59"/>
      <c r="AM90" s="59"/>
      <c r="AN90" s="59"/>
      <c r="AO90" s="59"/>
      <c r="AP90" s="59"/>
      <c r="AQ90" s="62"/>
      <c r="AR90" s="62"/>
      <c r="AS90" s="59"/>
      <c r="AT90" s="59"/>
      <c r="AU90" s="59"/>
      <c r="AV90" s="62"/>
      <c r="AW90" s="59">
        <v>0</v>
      </c>
      <c r="AX90" s="59"/>
      <c r="AY90" s="59"/>
      <c r="AZ90" s="59">
        <f t="shared" ref="AZ90:AZ99" si="1419">V90+AA90+AC90+AE90+AH90+AK90+AM90+AO90+AP90+AS90+AU90+AW90+AY90</f>
        <v>0</v>
      </c>
      <c r="BA90" s="73"/>
      <c r="BB90" s="170"/>
      <c r="BC90" s="50"/>
      <c r="BD90" s="43"/>
      <c r="BG90" s="340"/>
    </row>
    <row r="91" s="5" customFormat="1" ht="17" customHeight="1">
      <c r="A91" s="75"/>
      <c r="B91" s="76" t="s">
        <v>76</v>
      </c>
      <c r="C91" s="77">
        <v>3</v>
      </c>
      <c r="D91" s="77"/>
      <c r="E91" s="77"/>
      <c r="F91" s="78"/>
      <c r="G91" s="79">
        <f t="shared" ref="G91:P91" si="1420">SUM(G92:G99)</f>
        <v>573982</v>
      </c>
      <c r="H91" s="79">
        <f t="shared" si="1420"/>
        <v>521571.29999999999</v>
      </c>
      <c r="I91" s="79">
        <f t="shared" si="1420"/>
        <v>0</v>
      </c>
      <c r="J91" s="79">
        <f t="shared" si="1420"/>
        <v>0</v>
      </c>
      <c r="K91" s="79">
        <f t="shared" si="1420"/>
        <v>72706.399999999994</v>
      </c>
      <c r="L91" s="79">
        <f t="shared" si="1420"/>
        <v>308106.90000000002</v>
      </c>
      <c r="M91" s="79">
        <f t="shared" si="1420"/>
        <v>140758</v>
      </c>
      <c r="N91" s="79">
        <f t="shared" si="1420"/>
        <v>70367</v>
      </c>
      <c r="O91" s="79">
        <f t="shared" si="1420"/>
        <v>37005</v>
      </c>
      <c r="P91" s="79">
        <f t="shared" si="1420"/>
        <v>12735.4</v>
      </c>
      <c r="Q91" s="59">
        <v>9011</v>
      </c>
      <c r="R91" s="79">
        <f t="shared" ref="R91:V91" si="1421">SUM(R92:R99)</f>
        <v>9161</v>
      </c>
      <c r="S91" s="79">
        <f t="shared" si="1421"/>
        <v>0</v>
      </c>
      <c r="T91" s="79">
        <f t="shared" si="1421"/>
        <v>0</v>
      </c>
      <c r="U91" s="79">
        <f t="shared" si="1421"/>
        <v>10586</v>
      </c>
      <c r="V91" s="79">
        <f t="shared" si="1421"/>
        <v>35949.145473803001</v>
      </c>
      <c r="W91" s="79"/>
      <c r="X91" s="79">
        <f t="shared" ref="X91:AM91" si="1422">SUM(X92:X99)</f>
        <v>3.9161048374864098</v>
      </c>
      <c r="Y91" s="79">
        <f t="shared" si="1422"/>
        <v>32.265686311001097</v>
      </c>
      <c r="Z91" s="79">
        <f t="shared" si="1422"/>
        <v>29.5466655301258</v>
      </c>
      <c r="AA91" s="79">
        <f t="shared" si="1422"/>
        <v>10766.2725810355</v>
      </c>
      <c r="AB91" s="79">
        <f t="shared" si="1422"/>
        <v>27284.931400000001</v>
      </c>
      <c r="AC91" s="79">
        <f t="shared" si="1422"/>
        <v>1916.92726557675</v>
      </c>
      <c r="AD91" s="79">
        <f t="shared" si="1422"/>
        <v>1</v>
      </c>
      <c r="AE91" s="79">
        <f t="shared" si="1422"/>
        <v>0</v>
      </c>
      <c r="AF91" s="79">
        <f t="shared" si="1422"/>
        <v>244</v>
      </c>
      <c r="AG91" s="79">
        <f t="shared" si="1422"/>
        <v>244</v>
      </c>
      <c r="AH91" s="79">
        <f t="shared" si="1422"/>
        <v>2786.0062537039598</v>
      </c>
      <c r="AI91" s="79">
        <f t="shared" si="1422"/>
        <v>7.8111382952869404</v>
      </c>
      <c r="AJ91" s="79">
        <f t="shared" si="1422"/>
        <v>7.8111382952869404</v>
      </c>
      <c r="AK91" s="79">
        <f t="shared" si="1422"/>
        <v>3609.8949800821902</v>
      </c>
      <c r="AL91" s="79">
        <f t="shared" si="1422"/>
        <v>0</v>
      </c>
      <c r="AM91" s="79">
        <f t="shared" si="1422"/>
        <v>100</v>
      </c>
      <c r="AN91" s="79">
        <v>14</v>
      </c>
      <c r="AO91" s="79">
        <f t="shared" ref="AO91:AR91" si="1423">SUM(AO92:AO99)</f>
        <v>8400</v>
      </c>
      <c r="AP91" s="79">
        <f t="shared" si="1423"/>
        <v>21892.630851939401</v>
      </c>
      <c r="AQ91" s="79">
        <f t="shared" si="1423"/>
        <v>609.00999999999999</v>
      </c>
      <c r="AR91" s="79">
        <f t="shared" si="1423"/>
        <v>0</v>
      </c>
      <c r="AS91" s="79">
        <v>2400</v>
      </c>
      <c r="AT91" s="79"/>
      <c r="AU91" s="79">
        <v>2400</v>
      </c>
      <c r="AV91" s="81">
        <f t="shared" ref="AV91:BC91" si="1424">SUM(AV92:AV99)</f>
        <v>64.167557398156305</v>
      </c>
      <c r="AW91" s="81">
        <v>1639.3614012600599</v>
      </c>
      <c r="AX91" s="79">
        <f t="shared" si="1424"/>
        <v>17775.372054605901</v>
      </c>
      <c r="AY91" s="81">
        <f t="shared" si="1424"/>
        <v>0</v>
      </c>
      <c r="AZ91" s="81">
        <f t="shared" si="1424"/>
        <v>91860.238807400805</v>
      </c>
      <c r="BA91" s="81">
        <f t="shared" si="1424"/>
        <v>116433</v>
      </c>
      <c r="BB91" s="79">
        <f t="shared" si="1424"/>
        <v>105728.330236579</v>
      </c>
      <c r="BC91" s="79">
        <f t="shared" si="1424"/>
        <v>-13868.091429178299</v>
      </c>
      <c r="BD91" s="337">
        <f t="shared" si="1400"/>
        <v>-0.13116722261807101</v>
      </c>
      <c r="BG91" s="340"/>
    </row>
    <row r="92" ht="17" customHeight="1">
      <c r="A92" s="46">
        <v>57</v>
      </c>
      <c r="B92" s="82" t="s">
        <v>138</v>
      </c>
      <c r="C92" s="46" t="s">
        <v>90</v>
      </c>
      <c r="D92" s="46">
        <v>2019</v>
      </c>
      <c r="E92" s="46"/>
      <c r="F92" s="46"/>
      <c r="G92" s="73">
        <v>56067</v>
      </c>
      <c r="H92" s="59">
        <f t="shared" si="1409"/>
        <v>50460.300000000003</v>
      </c>
      <c r="I92" s="59">
        <f t="shared" si="1410"/>
        <v>0</v>
      </c>
      <c r="J92" s="59">
        <f t="shared" si="1411"/>
        <v>0</v>
      </c>
      <c r="K92" s="59">
        <f t="shared" si="1412"/>
        <v>0</v>
      </c>
      <c r="L92" s="59">
        <f t="shared" si="1413"/>
        <v>50460.300000000003</v>
      </c>
      <c r="M92" s="59">
        <f t="shared" si="1414"/>
        <v>0</v>
      </c>
      <c r="N92" s="59">
        <v>6906</v>
      </c>
      <c r="O92" s="59">
        <v>4466</v>
      </c>
      <c r="P92" s="59">
        <f t="shared" ref="P92:P99" si="1425">Q92*0.6+R92*0.8+S92*1+T92*1.25</f>
        <v>1583.4000000000001</v>
      </c>
      <c r="Q92" s="59">
        <v>2639</v>
      </c>
      <c r="R92" s="59"/>
      <c r="S92" s="59"/>
      <c r="T92" s="59"/>
      <c r="U92" s="59">
        <v>726</v>
      </c>
      <c r="V92" s="59">
        <f t="shared" ref="V92:V99" si="1426">H92/$H$9*(134866+26973)+N92/$N$9*202299+P92/$P$9*100000+U92/$U$9*34867</f>
        <v>3507.0630417615198</v>
      </c>
      <c r="W92" s="59">
        <v>13445.76</v>
      </c>
      <c r="X92" s="62">
        <f t="shared" ref="X92:X99" si="1427">($W$64-W92)/($W$64-$W$44)</f>
        <v>0.35707162474866999</v>
      </c>
      <c r="Y92" s="62">
        <f t="shared" ref="Y92:Y99" si="1428">(G92+N92)*X92/10000</f>
        <v>2.2485871425298001</v>
      </c>
      <c r="Z92" s="62">
        <f t="shared" ref="Z92:Z93" si="1429">Y92*0.5</f>
        <v>1.1242935712649</v>
      </c>
      <c r="AA92" s="59">
        <f t="shared" ref="AA92:AA99" si="1430">Z92/$Z$9*(1348663*0.1+30000)</f>
        <v>409.67232112882698</v>
      </c>
      <c r="AB92" s="59">
        <v>1575.53</v>
      </c>
      <c r="AC92" s="59">
        <f t="shared" ref="AC92:AC99" si="1431">(AB92/$AB$9*1348663*0.037)</f>
        <v>110.690269675156</v>
      </c>
      <c r="AD92" s="59"/>
      <c r="AE92" s="59"/>
      <c r="AF92" s="59">
        <v>51</v>
      </c>
      <c r="AG92" s="59">
        <f t="shared" si="1415"/>
        <v>51</v>
      </c>
      <c r="AH92" s="59">
        <f t="shared" si="1416"/>
        <v>582.32097925779601</v>
      </c>
      <c r="AI92" s="59">
        <v>0.97284504235176905</v>
      </c>
      <c r="AJ92" s="59">
        <f t="shared" si="1417"/>
        <v>0.97284504235176905</v>
      </c>
      <c r="AK92" s="59">
        <f t="shared" si="1418"/>
        <v>449.59752369286298</v>
      </c>
      <c r="AL92" s="338"/>
      <c r="AM92" s="59"/>
      <c r="AN92" s="59">
        <v>1</v>
      </c>
      <c r="AO92" s="59">
        <f t="shared" ref="AO92:AO99" si="1432">AN92*600</f>
        <v>600</v>
      </c>
      <c r="AP92" s="59"/>
      <c r="AQ92" s="62">
        <v>72.709999999999994</v>
      </c>
      <c r="AR92" s="62" t="s">
        <v>440</v>
      </c>
      <c r="AS92" s="59"/>
      <c r="AT92" s="59" t="s">
        <v>441</v>
      </c>
      <c r="AU92" s="59">
        <v>800</v>
      </c>
      <c r="AV92" s="62">
        <v>0.19202281174160801</v>
      </c>
      <c r="AW92" s="59">
        <f t="shared" ref="AW91:AW99" si="1433">AV92/$AV$9*35993</f>
        <v>4.9058246642822096</v>
      </c>
      <c r="AX92" s="59">
        <v>2304.28494356176</v>
      </c>
      <c r="AY92" s="59"/>
      <c r="AZ92" s="59">
        <f t="shared" si="1419"/>
        <v>6464.2499601804502</v>
      </c>
      <c r="BA92" s="59">
        <v>5577</v>
      </c>
      <c r="BB92" s="59">
        <f t="shared" ref="BB92:BB99" si="1434">BA92/$BA$9*1348663</f>
        <v>5064.2592540723199</v>
      </c>
      <c r="BC92" s="59">
        <f t="shared" ref="BC92:BC99" si="1435">AZ92-BB92</f>
        <v>1399.9907061081301</v>
      </c>
      <c r="BD92" s="43">
        <f t="shared" si="1400"/>
        <v>0.27644530737291101</v>
      </c>
      <c r="BG92" s="340"/>
    </row>
    <row r="93" s="5" customFormat="1" ht="17" customHeight="1">
      <c r="A93" s="46">
        <v>58</v>
      </c>
      <c r="B93" s="82" t="s">
        <v>139</v>
      </c>
      <c r="C93" s="46" t="s">
        <v>90</v>
      </c>
      <c r="D93" s="46">
        <v>2018</v>
      </c>
      <c r="E93" s="46"/>
      <c r="F93" s="46"/>
      <c r="G93" s="73">
        <v>58746</v>
      </c>
      <c r="H93" s="59">
        <f t="shared" si="1409"/>
        <v>46996.800000000003</v>
      </c>
      <c r="I93" s="59">
        <f t="shared" si="1410"/>
        <v>0</v>
      </c>
      <c r="J93" s="59">
        <f t="shared" si="1411"/>
        <v>0</v>
      </c>
      <c r="K93" s="59">
        <f t="shared" si="1412"/>
        <v>46996.800000000003</v>
      </c>
      <c r="L93" s="59">
        <f t="shared" si="1413"/>
        <v>0</v>
      </c>
      <c r="M93" s="59">
        <f t="shared" si="1414"/>
        <v>0</v>
      </c>
      <c r="N93" s="59">
        <v>5959</v>
      </c>
      <c r="O93" s="59">
        <v>2491</v>
      </c>
      <c r="P93" s="59">
        <f t="shared" si="1425"/>
        <v>560.39999999999998</v>
      </c>
      <c r="Q93" s="59">
        <v>934</v>
      </c>
      <c r="R93" s="59"/>
      <c r="S93" s="59"/>
      <c r="T93" s="59"/>
      <c r="U93" s="59">
        <v>1056</v>
      </c>
      <c r="V93" s="59">
        <f t="shared" si="1426"/>
        <v>3047.9059851188599</v>
      </c>
      <c r="W93" s="59">
        <v>12603.889999999999</v>
      </c>
      <c r="X93" s="62">
        <f t="shared" si="1427"/>
        <v>0.49292240463964998</v>
      </c>
      <c r="Y93" s="62">
        <f t="shared" si="1428"/>
        <v>3.18945441922085</v>
      </c>
      <c r="Z93" s="62">
        <f t="shared" si="1429"/>
        <v>1.5947272096104299</v>
      </c>
      <c r="AA93" s="59">
        <f t="shared" si="1430"/>
        <v>581.08986320484098</v>
      </c>
      <c r="AB93" s="59">
        <v>1123.76</v>
      </c>
      <c r="AC93" s="59">
        <f t="shared" si="1431"/>
        <v>78.950764155651399</v>
      </c>
      <c r="AD93" s="59"/>
      <c r="AE93" s="59"/>
      <c r="AF93" s="59">
        <v>24</v>
      </c>
      <c r="AG93" s="59">
        <f t="shared" si="1415"/>
        <v>24</v>
      </c>
      <c r="AH93" s="59">
        <f t="shared" si="1416"/>
        <v>274.03340200366898</v>
      </c>
      <c r="AI93" s="59">
        <v>1</v>
      </c>
      <c r="AJ93" s="59">
        <f t="shared" si="1417"/>
        <v>1</v>
      </c>
      <c r="AK93" s="59">
        <f t="shared" si="1418"/>
        <v>462.147108861243</v>
      </c>
      <c r="AL93" s="338"/>
      <c r="AM93" s="59"/>
      <c r="AN93" s="59">
        <v>1</v>
      </c>
      <c r="AO93" s="59">
        <f t="shared" si="1432"/>
        <v>600</v>
      </c>
      <c r="AP93" s="59"/>
      <c r="AQ93" s="62">
        <v>81.730000000000004</v>
      </c>
      <c r="AR93" s="62" t="s">
        <v>442</v>
      </c>
      <c r="AS93" s="59">
        <v>600</v>
      </c>
      <c r="AT93" s="59" t="s">
        <v>443</v>
      </c>
      <c r="AU93" s="59"/>
      <c r="AV93" s="62">
        <v>0.22467039328976099</v>
      </c>
      <c r="AW93" s="59">
        <f t="shared" si="1433"/>
        <v>5.7399094760576599</v>
      </c>
      <c r="AX93" s="59">
        <v>2498.75218367856</v>
      </c>
      <c r="AY93" s="59"/>
      <c r="AZ93" s="59">
        <f t="shared" si="1419"/>
        <v>5649.8670328203198</v>
      </c>
      <c r="BA93" s="59">
        <v>4982</v>
      </c>
      <c r="BB93" s="59">
        <f t="shared" si="1434"/>
        <v>4523.9626329188204</v>
      </c>
      <c r="BC93" s="59">
        <f t="shared" si="1435"/>
        <v>1125.9043999015</v>
      </c>
      <c r="BD93" s="43">
        <f t="shared" si="1400"/>
        <v>0.24887570726354</v>
      </c>
      <c r="BG93" s="340"/>
    </row>
    <row r="94" ht="17" customHeight="1">
      <c r="A94" s="46">
        <v>59</v>
      </c>
      <c r="B94" s="82" t="s">
        <v>140</v>
      </c>
      <c r="C94" s="46" t="s">
        <v>90</v>
      </c>
      <c r="D94" s="46">
        <v>2018</v>
      </c>
      <c r="E94" s="46" t="s">
        <v>91</v>
      </c>
      <c r="F94" s="46"/>
      <c r="G94" s="73">
        <v>32137</v>
      </c>
      <c r="H94" s="59">
        <f t="shared" si="1409"/>
        <v>25709.599999999999</v>
      </c>
      <c r="I94" s="59">
        <f t="shared" si="1410"/>
        <v>0</v>
      </c>
      <c r="J94" s="59">
        <f t="shared" si="1411"/>
        <v>0</v>
      </c>
      <c r="K94" s="59">
        <f t="shared" si="1412"/>
        <v>25709.599999999999</v>
      </c>
      <c r="L94" s="59">
        <f t="shared" si="1413"/>
        <v>0</v>
      </c>
      <c r="M94" s="59">
        <f t="shared" si="1414"/>
        <v>0</v>
      </c>
      <c r="N94" s="59">
        <v>5031</v>
      </c>
      <c r="O94" s="59">
        <v>3630</v>
      </c>
      <c r="P94" s="59">
        <f t="shared" si="1425"/>
        <v>1035</v>
      </c>
      <c r="Q94" s="59">
        <v>1725</v>
      </c>
      <c r="R94" s="59"/>
      <c r="S94" s="59"/>
      <c r="T94" s="59"/>
      <c r="U94" s="59">
        <v>941</v>
      </c>
      <c r="V94" s="59">
        <f t="shared" si="1426"/>
        <v>2313.3327905534902</v>
      </c>
      <c r="W94" s="59">
        <v>13268.620000000001</v>
      </c>
      <c r="X94" s="62">
        <f t="shared" si="1427"/>
        <v>0.38565633159163598</v>
      </c>
      <c r="Y94" s="62">
        <f t="shared" si="1428"/>
        <v>1.43340745325979</v>
      </c>
      <c r="Z94" s="62">
        <f t="shared" ref="Z94:Z99" si="1436">Y94*1</f>
        <v>1.43340745325979</v>
      </c>
      <c r="AA94" s="59">
        <f t="shared" si="1430"/>
        <v>522.30785046616802</v>
      </c>
      <c r="AB94" s="59">
        <v>3668.9470000000001</v>
      </c>
      <c r="AC94" s="59">
        <f t="shared" si="1431"/>
        <v>257.76515385543598</v>
      </c>
      <c r="AD94" s="59"/>
      <c r="AE94" s="59"/>
      <c r="AF94" s="59">
        <v>15</v>
      </c>
      <c r="AG94" s="59">
        <f t="shared" si="1415"/>
        <v>15</v>
      </c>
      <c r="AH94" s="59">
        <f t="shared" si="1416"/>
        <v>171.27087625229299</v>
      </c>
      <c r="AI94" s="59">
        <v>0.99443899247628398</v>
      </c>
      <c r="AJ94" s="59">
        <f t="shared" si="1417"/>
        <v>0.99443899247628398</v>
      </c>
      <c r="AK94" s="59">
        <f t="shared" si="1418"/>
        <v>459.57710531180197</v>
      </c>
      <c r="AL94" s="338"/>
      <c r="AM94" s="59"/>
      <c r="AN94" s="59">
        <v>2</v>
      </c>
      <c r="AO94" s="59">
        <f t="shared" si="1432"/>
        <v>1200</v>
      </c>
      <c r="AP94" s="59"/>
      <c r="AQ94" s="62">
        <v>66.230000000000004</v>
      </c>
      <c r="AR94" s="62" t="s">
        <v>440</v>
      </c>
      <c r="AS94" s="59"/>
      <c r="AT94" s="59" t="s">
        <v>443</v>
      </c>
      <c r="AU94" s="59"/>
      <c r="AV94" s="62">
        <v>13.5565828474607</v>
      </c>
      <c r="AW94" s="59">
        <f t="shared" si="1433"/>
        <v>346.34540497173202</v>
      </c>
      <c r="AX94" s="59">
        <v>1641.9585585206701</v>
      </c>
      <c r="AY94" s="59"/>
      <c r="AZ94" s="59">
        <f t="shared" si="1419"/>
        <v>5270.5991814109202</v>
      </c>
      <c r="BA94" s="59">
        <v>7599</v>
      </c>
      <c r="BB94" s="59">
        <f t="shared" si="1434"/>
        <v>6900.3597044460403</v>
      </c>
      <c r="BC94" s="59">
        <f t="shared" si="1435"/>
        <v>-1629.7605230351101</v>
      </c>
      <c r="BD94" s="43">
        <f t="shared" si="1400"/>
        <v>-0.23618486467959501</v>
      </c>
      <c r="BG94" s="340"/>
    </row>
    <row r="95" ht="17" customHeight="1">
      <c r="A95" s="46">
        <v>60</v>
      </c>
      <c r="B95" s="82" t="s">
        <v>141</v>
      </c>
      <c r="C95" s="46" t="s">
        <v>90</v>
      </c>
      <c r="D95" s="46">
        <v>2019</v>
      </c>
      <c r="E95" s="46" t="s">
        <v>91</v>
      </c>
      <c r="F95" s="46" t="s">
        <v>146</v>
      </c>
      <c r="G95" s="73">
        <v>68883</v>
      </c>
      <c r="H95" s="59">
        <f t="shared" si="1409"/>
        <v>61994.699999999997</v>
      </c>
      <c r="I95" s="59">
        <f t="shared" si="1410"/>
        <v>0</v>
      </c>
      <c r="J95" s="59">
        <f t="shared" si="1411"/>
        <v>0</v>
      </c>
      <c r="K95" s="59">
        <f t="shared" si="1412"/>
        <v>0</v>
      </c>
      <c r="L95" s="59">
        <f t="shared" si="1413"/>
        <v>61994.699999999997</v>
      </c>
      <c r="M95" s="59">
        <f t="shared" si="1414"/>
        <v>0</v>
      </c>
      <c r="N95" s="59">
        <v>3634</v>
      </c>
      <c r="O95" s="59">
        <v>3291</v>
      </c>
      <c r="P95" s="59">
        <f t="shared" si="1425"/>
        <v>0</v>
      </c>
      <c r="Q95" s="59"/>
      <c r="R95" s="59"/>
      <c r="S95" s="59"/>
      <c r="T95" s="59"/>
      <c r="U95" s="59">
        <v>1830</v>
      </c>
      <c r="V95" s="59">
        <f t="shared" si="1426"/>
        <v>3007.5496128005302</v>
      </c>
      <c r="W95" s="59">
        <v>14061.77</v>
      </c>
      <c r="X95" s="62">
        <f t="shared" si="1427"/>
        <v>0.25766739497371299</v>
      </c>
      <c r="Y95" s="62">
        <f t="shared" si="1428"/>
        <v>1.86852664813088</v>
      </c>
      <c r="Z95" s="62">
        <f t="shared" si="1436"/>
        <v>1.86852664813088</v>
      </c>
      <c r="AA95" s="59">
        <f t="shared" si="1430"/>
        <v>680.85744559548505</v>
      </c>
      <c r="AB95" s="59">
        <v>2349.203</v>
      </c>
      <c r="AC95" s="59">
        <f t="shared" si="1431"/>
        <v>165.04535844553001</v>
      </c>
      <c r="AD95" s="59"/>
      <c r="AE95" s="59"/>
      <c r="AF95" s="59">
        <v>19</v>
      </c>
      <c r="AG95" s="59">
        <f t="shared" si="1415"/>
        <v>19</v>
      </c>
      <c r="AH95" s="59">
        <f t="shared" si="1416"/>
        <v>216.94310991957099</v>
      </c>
      <c r="AI95" s="59">
        <v>1</v>
      </c>
      <c r="AJ95" s="59">
        <f t="shared" si="1417"/>
        <v>1</v>
      </c>
      <c r="AK95" s="59">
        <f t="shared" si="1418"/>
        <v>462.147108861243</v>
      </c>
      <c r="AL95" s="338"/>
      <c r="AM95" s="59"/>
      <c r="AN95" s="59">
        <v>2</v>
      </c>
      <c r="AO95" s="59">
        <f t="shared" si="1432"/>
        <v>1200</v>
      </c>
      <c r="AP95" s="59"/>
      <c r="AQ95" s="62">
        <v>80.780000000000001</v>
      </c>
      <c r="AR95" s="62" t="s">
        <v>442</v>
      </c>
      <c r="AS95" s="59">
        <v>600</v>
      </c>
      <c r="AT95" s="59" t="s">
        <v>443</v>
      </c>
      <c r="AU95" s="59"/>
      <c r="AV95" s="62">
        <v>6.0659071526044999</v>
      </c>
      <c r="AW95" s="59">
        <f t="shared" si="1433"/>
        <v>154.972613152528</v>
      </c>
      <c r="AX95" s="59">
        <v>2048.4456309285501</v>
      </c>
      <c r="AY95" s="59"/>
      <c r="AZ95" s="59">
        <f t="shared" si="1419"/>
        <v>6487.5152487748801</v>
      </c>
      <c r="BA95" s="59">
        <v>20371</v>
      </c>
      <c r="BB95" s="59">
        <f t="shared" si="1434"/>
        <v>18498.121797508898</v>
      </c>
      <c r="BC95" s="59">
        <f t="shared" si="1435"/>
        <v>-12010.606548734</v>
      </c>
      <c r="BD95" s="43">
        <f t="shared" si="1400"/>
        <v>-0.64928789420942501</v>
      </c>
      <c r="BG95" s="340"/>
    </row>
    <row r="96" ht="17" customHeight="1">
      <c r="A96" s="46">
        <v>61</v>
      </c>
      <c r="B96" s="82" t="s">
        <v>142</v>
      </c>
      <c r="C96" s="46" t="s">
        <v>93</v>
      </c>
      <c r="D96" s="46">
        <v>2019</v>
      </c>
      <c r="E96" s="46" t="s">
        <v>94</v>
      </c>
      <c r="F96" s="46" t="s">
        <v>146</v>
      </c>
      <c r="G96" s="73">
        <v>83326</v>
      </c>
      <c r="H96" s="59">
        <f t="shared" si="1409"/>
        <v>74993.399999999994</v>
      </c>
      <c r="I96" s="59">
        <f t="shared" si="1410"/>
        <v>0</v>
      </c>
      <c r="J96" s="59">
        <f t="shared" si="1411"/>
        <v>0</v>
      </c>
      <c r="K96" s="59">
        <f t="shared" si="1412"/>
        <v>0</v>
      </c>
      <c r="L96" s="59">
        <f t="shared" si="1413"/>
        <v>74993.399999999994</v>
      </c>
      <c r="M96" s="59">
        <f t="shared" si="1414"/>
        <v>0</v>
      </c>
      <c r="N96" s="59">
        <v>13090</v>
      </c>
      <c r="O96" s="59">
        <v>4689</v>
      </c>
      <c r="P96" s="59">
        <f t="shared" si="1425"/>
        <v>2421.5999999999999</v>
      </c>
      <c r="Q96" s="59">
        <v>0</v>
      </c>
      <c r="R96" s="59">
        <v>3027</v>
      </c>
      <c r="S96" s="59"/>
      <c r="T96" s="59"/>
      <c r="U96" s="59">
        <v>2613</v>
      </c>
      <c r="V96" s="59">
        <f t="shared" si="1426"/>
        <v>6227.4384877602697</v>
      </c>
      <c r="W96" s="59">
        <v>11158.030000000001</v>
      </c>
      <c r="X96" s="62">
        <f t="shared" si="1427"/>
        <v>0.72623777234864495</v>
      </c>
      <c r="Y96" s="62">
        <f t="shared" si="1428"/>
        <v>7.0020941058766999</v>
      </c>
      <c r="Z96" s="62">
        <f t="shared" si="1436"/>
        <v>7.0020941058766999</v>
      </c>
      <c r="AA96" s="59">
        <f t="shared" si="1430"/>
        <v>2551.43693643083</v>
      </c>
      <c r="AB96" s="59">
        <v>9406.4346000000005</v>
      </c>
      <c r="AC96" s="59">
        <f t="shared" si="1431"/>
        <v>660.85747815384002</v>
      </c>
      <c r="AD96" s="59"/>
      <c r="AE96" s="59"/>
      <c r="AF96" s="59">
        <v>34</v>
      </c>
      <c r="AG96" s="59">
        <f t="shared" si="1415"/>
        <v>34</v>
      </c>
      <c r="AH96" s="59">
        <f t="shared" si="1416"/>
        <v>388.21398617186401</v>
      </c>
      <c r="AI96" s="59">
        <v>1</v>
      </c>
      <c r="AJ96" s="59">
        <f t="shared" si="1417"/>
        <v>1</v>
      </c>
      <c r="AK96" s="59">
        <f t="shared" si="1418"/>
        <v>462.147108861243</v>
      </c>
      <c r="AL96" s="338"/>
      <c r="AM96" s="59"/>
      <c r="AN96" s="59">
        <v>2</v>
      </c>
      <c r="AO96" s="59">
        <f t="shared" si="1432"/>
        <v>1200</v>
      </c>
      <c r="AP96" s="59">
        <f>5000+N96/470414*13615</f>
        <v>5378.8585161155897</v>
      </c>
      <c r="AQ96" s="62">
        <v>81.069999999999993</v>
      </c>
      <c r="AR96" s="62" t="s">
        <v>442</v>
      </c>
      <c r="AS96" s="59">
        <v>600</v>
      </c>
      <c r="AT96" s="59" t="s">
        <v>443</v>
      </c>
      <c r="AU96" s="59"/>
      <c r="AV96" s="62">
        <v>7.0712921574630698</v>
      </c>
      <c r="AW96" s="59">
        <f t="shared" si="1433"/>
        <v>180.658324705235</v>
      </c>
      <c r="AX96" s="59">
        <v>2453.2472331474301</v>
      </c>
      <c r="AY96" s="59"/>
      <c r="AZ96" s="59">
        <f t="shared" si="1419"/>
        <v>17649.6108381989</v>
      </c>
      <c r="BA96" s="59">
        <v>17592</v>
      </c>
      <c r="BB96" s="59">
        <f t="shared" si="1434"/>
        <v>15974.6187551802</v>
      </c>
      <c r="BC96" s="59">
        <f t="shared" si="1435"/>
        <v>1674.99208301863</v>
      </c>
      <c r="BD96" s="43">
        <f t="shared" si="1400"/>
        <v>0.104853336952124</v>
      </c>
      <c r="BF96" s="84"/>
      <c r="BG96" s="339"/>
    </row>
    <row r="97" ht="17" customHeight="1">
      <c r="A97" s="46">
        <v>62</v>
      </c>
      <c r="B97" s="82" t="s">
        <v>143</v>
      </c>
      <c r="C97" s="46" t="s">
        <v>90</v>
      </c>
      <c r="D97" s="46">
        <v>2019</v>
      </c>
      <c r="E97" s="46" t="s">
        <v>91</v>
      </c>
      <c r="F97" s="46"/>
      <c r="G97" s="73">
        <v>72985</v>
      </c>
      <c r="H97" s="59">
        <f t="shared" si="1409"/>
        <v>65686.5</v>
      </c>
      <c r="I97" s="59">
        <f t="shared" si="1410"/>
        <v>0</v>
      </c>
      <c r="J97" s="59">
        <f t="shared" si="1411"/>
        <v>0</v>
      </c>
      <c r="K97" s="59">
        <f t="shared" si="1412"/>
        <v>0</v>
      </c>
      <c r="L97" s="59">
        <f t="shared" si="1413"/>
        <v>65686.5</v>
      </c>
      <c r="M97" s="59">
        <f t="shared" si="1414"/>
        <v>0</v>
      </c>
      <c r="N97" s="59">
        <v>10766</v>
      </c>
      <c r="O97" s="59">
        <v>3714</v>
      </c>
      <c r="P97" s="59">
        <f t="shared" si="1425"/>
        <v>1110</v>
      </c>
      <c r="Q97" s="59">
        <v>1850</v>
      </c>
      <c r="R97" s="59"/>
      <c r="S97" s="59"/>
      <c r="T97" s="59"/>
      <c r="U97" s="59">
        <v>1723</v>
      </c>
      <c r="V97" s="59">
        <f t="shared" si="1426"/>
        <v>4940.1827922390003</v>
      </c>
      <c r="W97" s="59">
        <v>11824.01</v>
      </c>
      <c r="X97" s="62">
        <f t="shared" si="1427"/>
        <v>0.61876998944654005</v>
      </c>
      <c r="Y97" s="62">
        <f t="shared" si="1428"/>
        <v>5.1822605386137202</v>
      </c>
      <c r="Z97" s="62">
        <f t="shared" si="1436"/>
        <v>5.1822605386137202</v>
      </c>
      <c r="AA97" s="59">
        <f t="shared" si="1430"/>
        <v>1888.32237220718</v>
      </c>
      <c r="AB97" s="59">
        <v>2098.23</v>
      </c>
      <c r="AC97" s="59">
        <f t="shared" si="1431"/>
        <v>147.41302580116101</v>
      </c>
      <c r="AD97" s="59"/>
      <c r="AE97" s="59"/>
      <c r="AF97" s="59">
        <v>46</v>
      </c>
      <c r="AG97" s="59">
        <f t="shared" si="1415"/>
        <v>46</v>
      </c>
      <c r="AH97" s="59">
        <f t="shared" si="1416"/>
        <v>525.23068717369802</v>
      </c>
      <c r="AI97" s="59">
        <v>1</v>
      </c>
      <c r="AJ97" s="59">
        <f t="shared" si="1417"/>
        <v>1</v>
      </c>
      <c r="AK97" s="59">
        <f t="shared" si="1418"/>
        <v>462.147108861243</v>
      </c>
      <c r="AL97" s="338"/>
      <c r="AM97" s="59"/>
      <c r="AN97" s="59">
        <v>2</v>
      </c>
      <c r="AO97" s="59">
        <f t="shared" si="1432"/>
        <v>1200</v>
      </c>
      <c r="AP97" s="59"/>
      <c r="AQ97" s="62">
        <v>81.140000000000001</v>
      </c>
      <c r="AR97" s="62" t="s">
        <v>442</v>
      </c>
      <c r="AS97" s="59">
        <v>600</v>
      </c>
      <c r="AT97" s="59" t="s">
        <v>443</v>
      </c>
      <c r="AU97" s="59"/>
      <c r="AV97" s="62">
        <v>13.555959507946501</v>
      </c>
      <c r="AW97" s="59">
        <f t="shared" si="1433"/>
        <v>346.329479809845</v>
      </c>
      <c r="AX97" s="59">
        <v>2500</v>
      </c>
      <c r="AY97" s="59"/>
      <c r="AZ97" s="59">
        <f t="shared" si="1419"/>
        <v>10109.6254660921</v>
      </c>
      <c r="BA97" s="59">
        <v>12906</v>
      </c>
      <c r="BB97" s="59">
        <f t="shared" si="1434"/>
        <v>11719.4423405159</v>
      </c>
      <c r="BC97" s="59">
        <f t="shared" si="1435"/>
        <v>-1609.8168744238001</v>
      </c>
      <c r="BD97" s="43">
        <f t="shared" si="1400"/>
        <v>-0.13736292458715499</v>
      </c>
      <c r="BG97" s="340"/>
    </row>
    <row r="98" s="5" customFormat="1" ht="17" customHeight="1">
      <c r="A98" s="46">
        <v>63</v>
      </c>
      <c r="B98" s="82" t="s">
        <v>144</v>
      </c>
      <c r="C98" s="46" t="s">
        <v>93</v>
      </c>
      <c r="D98" s="46">
        <v>2020</v>
      </c>
      <c r="E98" s="46" t="s">
        <v>94</v>
      </c>
      <c r="F98" s="46"/>
      <c r="G98" s="73">
        <v>140758</v>
      </c>
      <c r="H98" s="59">
        <f t="shared" si="1409"/>
        <v>140758</v>
      </c>
      <c r="I98" s="59">
        <f t="shared" si="1410"/>
        <v>0</v>
      </c>
      <c r="J98" s="59">
        <f t="shared" si="1411"/>
        <v>0</v>
      </c>
      <c r="K98" s="59">
        <f t="shared" si="1412"/>
        <v>0</v>
      </c>
      <c r="L98" s="59">
        <f t="shared" si="1413"/>
        <v>0</v>
      </c>
      <c r="M98" s="59">
        <f t="shared" si="1414"/>
        <v>140758</v>
      </c>
      <c r="N98" s="59">
        <v>20841</v>
      </c>
      <c r="O98" s="59">
        <v>9715</v>
      </c>
      <c r="P98" s="59">
        <f t="shared" si="1425"/>
        <v>4907.1999999999998</v>
      </c>
      <c r="Q98" s="59">
        <v>0</v>
      </c>
      <c r="R98" s="59">
        <v>6134</v>
      </c>
      <c r="S98" s="59"/>
      <c r="T98" s="59"/>
      <c r="U98" s="59">
        <v>0</v>
      </c>
      <c r="V98" s="59">
        <f t="shared" si="1426"/>
        <v>9767.8506470907705</v>
      </c>
      <c r="W98" s="59">
        <v>12885.940000000001</v>
      </c>
      <c r="X98" s="62">
        <f t="shared" si="1427"/>
        <v>0.44740859316252002</v>
      </c>
      <c r="Y98" s="62">
        <f t="shared" si="1428"/>
        <v>7.2300781246470098</v>
      </c>
      <c r="Z98" s="62">
        <f t="shared" si="1436"/>
        <v>7.2300781246470098</v>
      </c>
      <c r="AA98" s="59">
        <f t="shared" si="1430"/>
        <v>2634.5102053145401</v>
      </c>
      <c r="AB98" s="59">
        <v>5026.9567999999999</v>
      </c>
      <c r="AC98" s="59">
        <f t="shared" si="1431"/>
        <v>353.173347278287</v>
      </c>
      <c r="AD98" s="59">
        <v>1</v>
      </c>
      <c r="AE98" s="59"/>
      <c r="AF98" s="59">
        <v>34</v>
      </c>
      <c r="AG98" s="59">
        <f t="shared" si="1415"/>
        <v>34</v>
      </c>
      <c r="AH98" s="59">
        <f t="shared" si="1416"/>
        <v>388.21398617186401</v>
      </c>
      <c r="AI98" s="59">
        <v>0.85943204868154199</v>
      </c>
      <c r="AJ98" s="59">
        <f t="shared" si="1417"/>
        <v>0.85943204868154199</v>
      </c>
      <c r="AK98" s="59">
        <f t="shared" si="1418"/>
        <v>397.184036560869</v>
      </c>
      <c r="AL98" s="338" t="s">
        <v>1544</v>
      </c>
      <c r="AM98" s="59">
        <v>100</v>
      </c>
      <c r="AN98" s="59">
        <v>2</v>
      </c>
      <c r="AO98" s="59">
        <f t="shared" si="1432"/>
        <v>1200</v>
      </c>
      <c r="AP98" s="59">
        <f>5000+BF98+N98/470414*13615</f>
        <v>16513.7723358238</v>
      </c>
      <c r="AQ98" s="62">
        <v>76.299999999999997</v>
      </c>
      <c r="AR98" s="62" t="s">
        <v>440</v>
      </c>
      <c r="AS98" s="59"/>
      <c r="AT98" s="59" t="s">
        <v>441</v>
      </c>
      <c r="AU98" s="59">
        <v>800</v>
      </c>
      <c r="AV98" s="62">
        <v>15.070087641684101</v>
      </c>
      <c r="AW98" s="59">
        <f t="shared" si="1433"/>
        <v>385.012629358602</v>
      </c>
      <c r="AX98" s="59">
        <v>1824.59669123659</v>
      </c>
      <c r="AY98" s="59"/>
      <c r="AZ98" s="59">
        <f t="shared" si="1419"/>
        <v>32539.717187598799</v>
      </c>
      <c r="BA98" s="59">
        <v>35170</v>
      </c>
      <c r="BB98" s="59">
        <f t="shared" si="1434"/>
        <v>31936.5246486863</v>
      </c>
      <c r="BC98" s="59">
        <f t="shared" si="1435"/>
        <v>603.192538912484</v>
      </c>
      <c r="BD98" s="43">
        <f t="shared" si="1400"/>
        <v>1.8887231643011499e-002</v>
      </c>
      <c r="BF98" s="341">
        <v>10910.579796911299</v>
      </c>
      <c r="BG98" s="339"/>
    </row>
    <row r="99" ht="17" customHeight="1">
      <c r="A99" s="46">
        <v>64</v>
      </c>
      <c r="B99" s="82" t="s">
        <v>145</v>
      </c>
      <c r="C99" s="46" t="s">
        <v>90</v>
      </c>
      <c r="D99" s="46">
        <v>2019</v>
      </c>
      <c r="E99" s="46" t="s">
        <v>91</v>
      </c>
      <c r="F99" s="46" t="s">
        <v>146</v>
      </c>
      <c r="G99" s="73">
        <v>61080</v>
      </c>
      <c r="H99" s="59">
        <f t="shared" si="1409"/>
        <v>54972</v>
      </c>
      <c r="I99" s="59">
        <f t="shared" si="1410"/>
        <v>0</v>
      </c>
      <c r="J99" s="59">
        <f t="shared" si="1411"/>
        <v>0</v>
      </c>
      <c r="K99" s="59">
        <f t="shared" si="1412"/>
        <v>0</v>
      </c>
      <c r="L99" s="59">
        <f t="shared" si="1413"/>
        <v>54972</v>
      </c>
      <c r="M99" s="59">
        <f t="shared" si="1414"/>
        <v>0</v>
      </c>
      <c r="N99" s="59">
        <v>4140</v>
      </c>
      <c r="O99" s="59">
        <v>5009</v>
      </c>
      <c r="P99" s="59">
        <f t="shared" si="1425"/>
        <v>1117.8</v>
      </c>
      <c r="Q99" s="59">
        <v>1863</v>
      </c>
      <c r="R99" s="59"/>
      <c r="S99" s="59"/>
      <c r="T99" s="59"/>
      <c r="U99" s="59">
        <v>1697</v>
      </c>
      <c r="V99" s="59">
        <f t="shared" si="1426"/>
        <v>3137.82211647851</v>
      </c>
      <c r="W99" s="59">
        <v>11752.120000000001</v>
      </c>
      <c r="X99" s="62">
        <f t="shared" si="1427"/>
        <v>0.63037072657503102</v>
      </c>
      <c r="Y99" s="62">
        <f t="shared" si="1428"/>
        <v>4.1112778787223503</v>
      </c>
      <c r="Z99" s="62">
        <f t="shared" si="1436"/>
        <v>4.1112778787223503</v>
      </c>
      <c r="AA99" s="59">
        <f t="shared" si="1430"/>
        <v>1498.07558668763</v>
      </c>
      <c r="AB99" s="59">
        <v>2035.8699999999999</v>
      </c>
      <c r="AC99" s="59">
        <f t="shared" si="1431"/>
        <v>143.031868211687</v>
      </c>
      <c r="AD99" s="59"/>
      <c r="AE99" s="59"/>
      <c r="AF99" s="59">
        <v>21</v>
      </c>
      <c r="AG99" s="59">
        <f t="shared" si="1415"/>
        <v>21</v>
      </c>
      <c r="AH99" s="59">
        <f t="shared" si="1416"/>
        <v>239.77922675321</v>
      </c>
      <c r="AI99" s="59">
        <v>0.98442221177734501</v>
      </c>
      <c r="AJ99" s="59">
        <f t="shared" si="1417"/>
        <v>0.98442221177734501</v>
      </c>
      <c r="AK99" s="59">
        <f t="shared" si="1418"/>
        <v>454.94787907169001</v>
      </c>
      <c r="AL99" s="338"/>
      <c r="AM99" s="59"/>
      <c r="AN99" s="59">
        <v>2</v>
      </c>
      <c r="AO99" s="59">
        <f t="shared" si="1432"/>
        <v>1200</v>
      </c>
      <c r="AP99" s="59"/>
      <c r="AQ99" s="62">
        <v>69.049999999999997</v>
      </c>
      <c r="AR99" s="62" t="s">
        <v>440</v>
      </c>
      <c r="AS99" s="59"/>
      <c r="AT99" s="59" t="s">
        <v>441</v>
      </c>
      <c r="AU99" s="59">
        <v>800</v>
      </c>
      <c r="AV99" s="62">
        <v>8.4310348859660404</v>
      </c>
      <c r="AW99" s="59">
        <f t="shared" si="1433"/>
        <v>215.397215121779</v>
      </c>
      <c r="AX99" s="59">
        <v>2504.0868135323799</v>
      </c>
      <c r="AY99" s="59"/>
      <c r="AZ99" s="59">
        <f t="shared" si="1419"/>
        <v>7689.0538923245003</v>
      </c>
      <c r="BA99" s="59">
        <v>12236</v>
      </c>
      <c r="BB99" s="59">
        <f t="shared" si="1434"/>
        <v>11111.0411032506</v>
      </c>
      <c r="BC99" s="59">
        <f t="shared" si="1435"/>
        <v>-3421.9872109261501</v>
      </c>
      <c r="BD99" s="43">
        <f t="shared" si="1400"/>
        <v>-0.30798078948020602</v>
      </c>
      <c r="BG99" s="340"/>
    </row>
    <row r="100" s="5" customFormat="1" ht="17" customHeight="1">
      <c r="A100" s="65"/>
      <c r="B100" s="66" t="s">
        <v>147</v>
      </c>
      <c r="C100" s="67">
        <v>1</v>
      </c>
      <c r="D100" s="67"/>
      <c r="E100" s="67"/>
      <c r="F100" s="68"/>
      <c r="G100" s="69">
        <f t="shared" ref="G100:P100" si="1437">G101+G102</f>
        <v>553461</v>
      </c>
      <c r="H100" s="69">
        <f t="shared" si="1437"/>
        <v>496109</v>
      </c>
      <c r="I100" s="69">
        <f t="shared" si="1437"/>
        <v>9933.6000000000004</v>
      </c>
      <c r="J100" s="69">
        <f t="shared" si="1437"/>
        <v>9233</v>
      </c>
      <c r="K100" s="69">
        <f t="shared" si="1437"/>
        <v>112238.39999999999</v>
      </c>
      <c r="L100" s="69">
        <f t="shared" si="1437"/>
        <v>168417</v>
      </c>
      <c r="M100" s="69">
        <f t="shared" si="1437"/>
        <v>196287</v>
      </c>
      <c r="N100" s="69">
        <f t="shared" si="1437"/>
        <v>83924</v>
      </c>
      <c r="O100" s="69">
        <f t="shared" si="1437"/>
        <v>81805</v>
      </c>
      <c r="P100" s="69">
        <f t="shared" si="1437"/>
        <v>3602.4000000000001</v>
      </c>
      <c r="Q100" s="59">
        <v>6004</v>
      </c>
      <c r="R100" s="69">
        <f t="shared" ref="R100:V100" si="1438">R101+R102</f>
        <v>0</v>
      </c>
      <c r="S100" s="69">
        <f t="shared" si="1438"/>
        <v>0</v>
      </c>
      <c r="T100" s="69">
        <f t="shared" si="1438"/>
        <v>0</v>
      </c>
      <c r="U100" s="69">
        <f t="shared" si="1438"/>
        <v>12124</v>
      </c>
      <c r="V100" s="69">
        <f t="shared" si="1438"/>
        <v>36636.565397280901</v>
      </c>
      <c r="W100" s="69"/>
      <c r="X100" s="69">
        <f t="shared" ref="X100:AM100" si="1439">X101+X102</f>
        <v>5.9942908042898004</v>
      </c>
      <c r="Y100" s="69">
        <f t="shared" si="1439"/>
        <v>38.956899135390898</v>
      </c>
      <c r="Z100" s="69">
        <f t="shared" si="1439"/>
        <v>34.4361887153987</v>
      </c>
      <c r="AA100" s="69">
        <f t="shared" si="1439"/>
        <v>12547.926735893199</v>
      </c>
      <c r="AB100" s="69">
        <f t="shared" si="1439"/>
        <v>95831.279999999999</v>
      </c>
      <c r="AC100" s="69">
        <f t="shared" si="1439"/>
        <v>6732.7123104703796</v>
      </c>
      <c r="AD100" s="69">
        <f t="shared" si="1439"/>
        <v>0</v>
      </c>
      <c r="AE100" s="69">
        <f t="shared" si="1439"/>
        <v>0</v>
      </c>
      <c r="AF100" s="69">
        <f t="shared" si="1439"/>
        <v>244</v>
      </c>
      <c r="AG100" s="69">
        <f t="shared" si="1439"/>
        <v>234</v>
      </c>
      <c r="AH100" s="69">
        <f t="shared" si="1439"/>
        <v>2671.82566953577</v>
      </c>
      <c r="AI100" s="69">
        <f t="shared" si="1439"/>
        <v>9.2901645398063799</v>
      </c>
      <c r="AJ100" s="69">
        <f t="shared" si="1439"/>
        <v>8.8601664789182699</v>
      </c>
      <c r="AK100" s="69">
        <f t="shared" si="1439"/>
        <v>4094.7003222613698</v>
      </c>
      <c r="AL100" s="69">
        <f t="shared" si="1439"/>
        <v>0</v>
      </c>
      <c r="AM100" s="69">
        <f t="shared" si="1439"/>
        <v>300</v>
      </c>
      <c r="AN100" s="69">
        <v>16</v>
      </c>
      <c r="AO100" s="69">
        <f t="shared" ref="AO100:AR100" si="1440">AO101+AO102</f>
        <v>9600</v>
      </c>
      <c r="AP100" s="69">
        <f t="shared" si="1440"/>
        <v>5939.6791018124504</v>
      </c>
      <c r="AQ100" s="69">
        <f t="shared" si="1440"/>
        <v>804.99000000000001</v>
      </c>
      <c r="AR100" s="69">
        <f t="shared" si="1440"/>
        <v>0</v>
      </c>
      <c r="AS100" s="69">
        <v>3900</v>
      </c>
      <c r="AT100" s="69"/>
      <c r="AU100" s="69">
        <v>2400</v>
      </c>
      <c r="AV100" s="71">
        <f t="shared" ref="AV100:BC100" si="1441">AV101+AV102</f>
        <v>132.25331336486801</v>
      </c>
      <c r="AW100" s="71">
        <v>3378.8254674214299</v>
      </c>
      <c r="AX100" s="69">
        <f t="shared" si="1441"/>
        <v>6163.1792097020598</v>
      </c>
      <c r="AY100" s="71">
        <f t="shared" si="1441"/>
        <v>0</v>
      </c>
      <c r="AZ100" s="71">
        <f t="shared" si="1441"/>
        <v>88202.235004675604</v>
      </c>
      <c r="BA100" s="71">
        <f t="shared" si="1441"/>
        <v>107786</v>
      </c>
      <c r="BB100" s="69">
        <f t="shared" si="1441"/>
        <v>97876.322029664501</v>
      </c>
      <c r="BC100" s="69">
        <f t="shared" si="1441"/>
        <v>-9674.0870249889194</v>
      </c>
      <c r="BD100" s="336">
        <f t="shared" si="1400"/>
        <v>-9.8839911680139406e-002</v>
      </c>
      <c r="BG100" s="340"/>
    </row>
    <row r="101" s="5" customFormat="1" ht="17" customHeight="1">
      <c r="A101" s="44"/>
      <c r="B101" s="72" t="s">
        <v>148</v>
      </c>
      <c r="C101" s="46">
        <v>2</v>
      </c>
      <c r="D101" s="46"/>
      <c r="E101" s="46"/>
      <c r="F101" s="46"/>
      <c r="G101" s="73"/>
      <c r="H101" s="59">
        <f t="shared" ref="H101:H112" si="1442">SUM(I101:M101)</f>
        <v>0</v>
      </c>
      <c r="I101" s="59">
        <f t="shared" ref="I101:I112" si="1443">IF(D101="",G101*0.6,0)</f>
        <v>0</v>
      </c>
      <c r="J101" s="59">
        <f t="shared" ref="J101:J112" si="1444">IF(D101=2017,G101*0.7,0)</f>
        <v>0</v>
      </c>
      <c r="K101" s="59">
        <f t="shared" ref="K101:K112" si="1445">IF(D101=2018,G101*0.8,0)</f>
        <v>0</v>
      </c>
      <c r="L101" s="59">
        <f t="shared" ref="L101:L112" si="1446">IF(D101=2019,G101*0.9,0)</f>
        <v>0</v>
      </c>
      <c r="M101" s="59">
        <f t="shared" ref="M101:M112" si="1447">IF(D101=2020,G101*1,0)</f>
        <v>0</v>
      </c>
      <c r="N101" s="59"/>
      <c r="O101" s="59"/>
      <c r="P101" s="59">
        <f>L101*0.4+M101*0.6+N101*0.8+O101*1</f>
        <v>0</v>
      </c>
      <c r="Q101" s="59"/>
      <c r="R101" s="59"/>
      <c r="S101" s="59"/>
      <c r="T101" s="59"/>
      <c r="U101" s="59"/>
      <c r="V101" s="59">
        <f>H101/$H$9*134866+N101/$N$9*202299+P101/$P$9*100000+U101/$U$9*34867</f>
        <v>0</v>
      </c>
      <c r="W101" s="59"/>
      <c r="X101" s="62"/>
      <c r="Y101" s="62"/>
      <c r="Z101" s="62"/>
      <c r="AA101" s="59"/>
      <c r="AB101" s="59"/>
      <c r="AC101" s="59"/>
      <c r="AD101" s="59"/>
      <c r="AE101" s="59"/>
      <c r="AF101" s="59"/>
      <c r="AG101" s="59">
        <f t="shared" ref="AG101:AG112" si="1448">AF101</f>
        <v>0</v>
      </c>
      <c r="AH101" s="59">
        <f t="shared" ref="AH101:AH112" si="1449">AG101/$AG$9*40459.89</f>
        <v>0</v>
      </c>
      <c r="AI101" s="59"/>
      <c r="AJ101" s="59">
        <f t="shared" ref="AJ101:AJ112" si="1450">AI101</f>
        <v>0</v>
      </c>
      <c r="AK101" s="59">
        <f t="shared" ref="AK101:AK112" si="1451">AJ101/$AJ$9*40459.89</f>
        <v>0</v>
      </c>
      <c r="AL101" s="59"/>
      <c r="AM101" s="59"/>
      <c r="AN101" s="59"/>
      <c r="AO101" s="59"/>
      <c r="AP101" s="59"/>
      <c r="AQ101" s="62"/>
      <c r="AR101" s="62"/>
      <c r="AS101" s="59"/>
      <c r="AT101" s="59"/>
      <c r="AU101" s="59"/>
      <c r="AV101" s="62"/>
      <c r="AW101" s="59">
        <v>0</v>
      </c>
      <c r="AX101" s="59"/>
      <c r="AY101" s="59"/>
      <c r="AZ101" s="59">
        <f t="shared" ref="AZ101:AZ112" si="1452">V101+AA101+AC101+AE101+AH101+AK101+AM101+AO101+AP101+AS101+AU101+AW101+AY101</f>
        <v>0</v>
      </c>
      <c r="BA101" s="73"/>
      <c r="BB101" s="170"/>
      <c r="BC101" s="50"/>
      <c r="BD101" s="43"/>
      <c r="BG101" s="340"/>
    </row>
    <row r="102" s="5" customFormat="1" ht="17" customHeight="1">
      <c r="A102" s="75"/>
      <c r="B102" s="76" t="s">
        <v>76</v>
      </c>
      <c r="C102" s="77">
        <v>3</v>
      </c>
      <c r="D102" s="77"/>
      <c r="E102" s="77"/>
      <c r="F102" s="78"/>
      <c r="G102" s="79">
        <f t="shared" ref="G102:P102" si="1453">SUM(G103:G112)</f>
        <v>553461</v>
      </c>
      <c r="H102" s="79">
        <f t="shared" si="1453"/>
        <v>496109</v>
      </c>
      <c r="I102" s="79">
        <f t="shared" si="1453"/>
        <v>9933.6000000000004</v>
      </c>
      <c r="J102" s="79">
        <f t="shared" si="1453"/>
        <v>9233</v>
      </c>
      <c r="K102" s="79">
        <f t="shared" si="1453"/>
        <v>112238.39999999999</v>
      </c>
      <c r="L102" s="79">
        <f t="shared" si="1453"/>
        <v>168417</v>
      </c>
      <c r="M102" s="79">
        <f t="shared" si="1453"/>
        <v>196287</v>
      </c>
      <c r="N102" s="79">
        <f t="shared" si="1453"/>
        <v>83924</v>
      </c>
      <c r="O102" s="79">
        <f t="shared" si="1453"/>
        <v>81805</v>
      </c>
      <c r="P102" s="79">
        <f t="shared" si="1453"/>
        <v>3602.4000000000001</v>
      </c>
      <c r="Q102" s="59">
        <v>6004</v>
      </c>
      <c r="R102" s="79">
        <f t="shared" ref="R102:V102" si="1454">SUM(R103:R112)</f>
        <v>0</v>
      </c>
      <c r="S102" s="79">
        <f t="shared" si="1454"/>
        <v>0</v>
      </c>
      <c r="T102" s="79">
        <f t="shared" si="1454"/>
        <v>0</v>
      </c>
      <c r="U102" s="79">
        <f t="shared" si="1454"/>
        <v>12124</v>
      </c>
      <c r="V102" s="79">
        <f t="shared" si="1454"/>
        <v>36636.565397280901</v>
      </c>
      <c r="W102" s="79"/>
      <c r="X102" s="79">
        <f t="shared" ref="X102:AM102" si="1455">SUM(X103:X112)</f>
        <v>5.9942908042898004</v>
      </c>
      <c r="Y102" s="79">
        <f t="shared" si="1455"/>
        <v>38.956899135390898</v>
      </c>
      <c r="Z102" s="79">
        <f t="shared" si="1455"/>
        <v>34.4361887153987</v>
      </c>
      <c r="AA102" s="79">
        <f t="shared" si="1455"/>
        <v>12547.926735893199</v>
      </c>
      <c r="AB102" s="79">
        <f t="shared" si="1455"/>
        <v>95831.279999999999</v>
      </c>
      <c r="AC102" s="79">
        <f t="shared" si="1455"/>
        <v>6732.7123104703796</v>
      </c>
      <c r="AD102" s="79">
        <f t="shared" si="1455"/>
        <v>0</v>
      </c>
      <c r="AE102" s="79">
        <f t="shared" si="1455"/>
        <v>0</v>
      </c>
      <c r="AF102" s="79">
        <f t="shared" si="1455"/>
        <v>244</v>
      </c>
      <c r="AG102" s="59">
        <f t="shared" si="1455"/>
        <v>234</v>
      </c>
      <c r="AH102" s="59">
        <f t="shared" si="1455"/>
        <v>2671.82566953577</v>
      </c>
      <c r="AI102" s="79">
        <f t="shared" si="1455"/>
        <v>9.2901645398063799</v>
      </c>
      <c r="AJ102" s="59">
        <f t="shared" si="1455"/>
        <v>8.8601664789182699</v>
      </c>
      <c r="AK102" s="59">
        <f t="shared" si="1455"/>
        <v>4094.7003222613698</v>
      </c>
      <c r="AL102" s="79">
        <f t="shared" si="1455"/>
        <v>0</v>
      </c>
      <c r="AM102" s="79">
        <f t="shared" si="1455"/>
        <v>300</v>
      </c>
      <c r="AN102" s="79">
        <v>16</v>
      </c>
      <c r="AO102" s="79">
        <f t="shared" ref="AO102:AR102" si="1456">SUM(AO103:AO112)</f>
        <v>9600</v>
      </c>
      <c r="AP102" s="79">
        <f t="shared" si="1456"/>
        <v>5939.6791018124504</v>
      </c>
      <c r="AQ102" s="79">
        <f t="shared" si="1456"/>
        <v>804.99000000000001</v>
      </c>
      <c r="AR102" s="79">
        <f t="shared" si="1456"/>
        <v>0</v>
      </c>
      <c r="AS102" s="79">
        <v>3900</v>
      </c>
      <c r="AT102" s="79"/>
      <c r="AU102" s="79">
        <v>2400</v>
      </c>
      <c r="AV102" s="81">
        <f t="shared" ref="AV102:BC102" si="1457">SUM(AV103:AV112)</f>
        <v>132.25331336486801</v>
      </c>
      <c r="AW102" s="81">
        <v>3378.8254674214299</v>
      </c>
      <c r="AX102" s="79">
        <f t="shared" si="1457"/>
        <v>6163.1792097020598</v>
      </c>
      <c r="AY102" s="81">
        <f t="shared" si="1457"/>
        <v>0</v>
      </c>
      <c r="AZ102" s="81">
        <f t="shared" si="1457"/>
        <v>88202.235004675604</v>
      </c>
      <c r="BA102" s="81">
        <f t="shared" si="1457"/>
        <v>107786</v>
      </c>
      <c r="BB102" s="79">
        <f t="shared" si="1457"/>
        <v>97876.322029664501</v>
      </c>
      <c r="BC102" s="79">
        <f t="shared" si="1457"/>
        <v>-9674.0870249889194</v>
      </c>
      <c r="BD102" s="337">
        <f t="shared" ref="BD102:BD165" si="1458">BC102/BB102</f>
        <v>-9.8839911680139406e-002</v>
      </c>
      <c r="BG102" s="340"/>
    </row>
    <row r="103" ht="17" customHeight="1">
      <c r="A103" s="46">
        <v>65</v>
      </c>
      <c r="B103" s="82" t="s">
        <v>149</v>
      </c>
      <c r="C103" s="46" t="s">
        <v>78</v>
      </c>
      <c r="D103" s="46"/>
      <c r="E103" s="46"/>
      <c r="F103" s="46"/>
      <c r="G103" s="73">
        <v>16556</v>
      </c>
      <c r="H103" s="59">
        <f t="shared" si="1442"/>
        <v>9933.6000000000004</v>
      </c>
      <c r="I103" s="59">
        <f t="shared" si="1443"/>
        <v>9933.6000000000004</v>
      </c>
      <c r="J103" s="59">
        <f t="shared" si="1444"/>
        <v>0</v>
      </c>
      <c r="K103" s="59">
        <f t="shared" si="1445"/>
        <v>0</v>
      </c>
      <c r="L103" s="59">
        <f t="shared" si="1446"/>
        <v>0</v>
      </c>
      <c r="M103" s="59">
        <f t="shared" si="1447"/>
        <v>0</v>
      </c>
      <c r="N103" s="59">
        <v>1047</v>
      </c>
      <c r="O103" s="59">
        <v>1715</v>
      </c>
      <c r="P103" s="59">
        <f t="shared" ref="P103:P112" si="1459">Q103*0.6+R103*0.8+S103*1+T103*1.25</f>
        <v>717</v>
      </c>
      <c r="Q103" s="59">
        <v>1195</v>
      </c>
      <c r="R103" s="59"/>
      <c r="S103" s="59"/>
      <c r="T103" s="59"/>
      <c r="U103" s="59">
        <v>448</v>
      </c>
      <c r="V103" s="59">
        <f t="shared" ref="V103:V112" si="1460">H103/$H$9*(134866+26973)+N103/$N$9*202299+P103/$P$9*100000+U103/$U$9*34867</f>
        <v>781.37960976971999</v>
      </c>
      <c r="W103" s="59">
        <v>12525.73</v>
      </c>
      <c r="X103" s="62">
        <f t="shared" ref="X103:X112" si="1461">($W$64-W103)/($W$64-$W$44)</f>
        <v>0.50553491839626197</v>
      </c>
      <c r="Y103" s="62">
        <f t="shared" ref="Y103:Y112" si="1462">(G103+N103)*X103/10000</f>
        <v>0.88989311685293904</v>
      </c>
      <c r="Z103" s="62">
        <f>Y103*0.2</f>
        <v>0.17797862337058801</v>
      </c>
      <c r="AA103" s="59">
        <f t="shared" ref="AA103:AA112" si="1463">Z103/$Z$9*(1348663*0.1+30000)</f>
        <v>64.852203740265693</v>
      </c>
      <c r="AB103" s="59">
        <v>1208</v>
      </c>
      <c r="AC103" s="59">
        <f t="shared" ref="AC103:AC112" si="1464">(AB103/$AB$9*1348663*0.037)</f>
        <v>84.869120719750498</v>
      </c>
      <c r="AD103" s="59"/>
      <c r="AE103" s="59"/>
      <c r="AF103" s="59">
        <v>20</v>
      </c>
      <c r="AG103" s="59">
        <f>AF103*0.5</f>
        <v>10</v>
      </c>
      <c r="AH103" s="59">
        <f t="shared" si="1449"/>
        <v>114.180584168195</v>
      </c>
      <c r="AI103" s="59">
        <v>0.85999612177622697</v>
      </c>
      <c r="AJ103" s="59">
        <f>AI103*0.5</f>
        <v>0.42999806088811299</v>
      </c>
      <c r="AK103" s="59">
        <f t="shared" si="1451"/>
        <v>198.722360655382</v>
      </c>
      <c r="AL103" s="338"/>
      <c r="AM103" s="59"/>
      <c r="AN103" s="59">
        <v>1</v>
      </c>
      <c r="AO103" s="59">
        <f t="shared" ref="AO103:AO112" si="1465">AN103*600</f>
        <v>600</v>
      </c>
      <c r="AP103" s="59"/>
      <c r="AQ103" s="62">
        <v>82.650000000000006</v>
      </c>
      <c r="AR103" s="62" t="s">
        <v>442</v>
      </c>
      <c r="AS103" s="59">
        <v>300</v>
      </c>
      <c r="AT103" s="59" t="s">
        <v>443</v>
      </c>
      <c r="AU103" s="59"/>
      <c r="AV103" s="62">
        <v>13.739369497952801</v>
      </c>
      <c r="AW103" s="59">
        <f t="shared" ref="AW103:AW166" si="1466">AV103/$AV$9*35993</f>
        <v>351.015262944087</v>
      </c>
      <c r="AX103" s="59">
        <v>29.4282481287227</v>
      </c>
      <c r="AY103" s="59"/>
      <c r="AZ103" s="59">
        <f t="shared" si="1452"/>
        <v>2495.0191419973999</v>
      </c>
      <c r="BA103" s="59">
        <v>1817</v>
      </c>
      <c r="BB103" s="59">
        <f t="shared" ref="BB103:BB112" si="1467">BA103/$BA$9*1348663</f>
        <v>1649.9478330015099</v>
      </c>
      <c r="BC103" s="59">
        <f t="shared" ref="BC103:BC112" si="1468">AZ103-BB103</f>
        <v>845.07130899589504</v>
      </c>
      <c r="BD103" s="43">
        <f t="shared" si="1458"/>
        <v>0.51218062298283795</v>
      </c>
      <c r="BG103" s="340"/>
    </row>
    <row r="104" ht="17" customHeight="1">
      <c r="A104" s="46">
        <v>66</v>
      </c>
      <c r="B104" s="82" t="s">
        <v>150</v>
      </c>
      <c r="C104" s="46" t="s">
        <v>90</v>
      </c>
      <c r="D104" s="46">
        <v>2017</v>
      </c>
      <c r="E104" s="46"/>
      <c r="F104" s="46"/>
      <c r="G104" s="73">
        <v>13190</v>
      </c>
      <c r="H104" s="59">
        <f t="shared" si="1442"/>
        <v>9233</v>
      </c>
      <c r="I104" s="59">
        <f t="shared" si="1443"/>
        <v>0</v>
      </c>
      <c r="J104" s="59">
        <f t="shared" si="1444"/>
        <v>9233</v>
      </c>
      <c r="K104" s="59">
        <f t="shared" si="1445"/>
        <v>0</v>
      </c>
      <c r="L104" s="59">
        <f t="shared" si="1446"/>
        <v>0</v>
      </c>
      <c r="M104" s="59">
        <f t="shared" si="1447"/>
        <v>0</v>
      </c>
      <c r="N104" s="59">
        <v>4423</v>
      </c>
      <c r="O104" s="59">
        <v>1167</v>
      </c>
      <c r="P104" s="59">
        <f t="shared" si="1459"/>
        <v>0</v>
      </c>
      <c r="Q104" s="59"/>
      <c r="R104" s="59"/>
      <c r="S104" s="59"/>
      <c r="T104" s="59"/>
      <c r="U104" s="59">
        <v>369</v>
      </c>
      <c r="V104" s="59">
        <f t="shared" si="1460"/>
        <v>1346.3135676169099</v>
      </c>
      <c r="W104" s="59">
        <v>11646.190000000001</v>
      </c>
      <c r="X104" s="62">
        <f t="shared" si="1461"/>
        <v>0.64746442645013202</v>
      </c>
      <c r="Y104" s="62">
        <f t="shared" si="1462"/>
        <v>1.1403790943066201</v>
      </c>
      <c r="Z104" s="62">
        <f t="shared" ref="Z104:Z107" si="1469">Y104*0.5</f>
        <v>0.57018954715330905</v>
      </c>
      <c r="AA104" s="59">
        <f t="shared" si="1463"/>
        <v>207.76679795730499</v>
      </c>
      <c r="AB104" s="59">
        <v>761.5</v>
      </c>
      <c r="AC104" s="59">
        <f t="shared" si="1464"/>
        <v>53.499863764975203</v>
      </c>
      <c r="AD104" s="59"/>
      <c r="AE104" s="59"/>
      <c r="AF104" s="59">
        <v>10</v>
      </c>
      <c r="AG104" s="59">
        <f t="shared" si="1448"/>
        <v>10</v>
      </c>
      <c r="AH104" s="59">
        <f t="shared" si="1449"/>
        <v>114.180584168195</v>
      </c>
      <c r="AI104" s="59">
        <v>1</v>
      </c>
      <c r="AJ104" s="59">
        <f t="shared" si="1450"/>
        <v>1</v>
      </c>
      <c r="AK104" s="59">
        <f t="shared" si="1451"/>
        <v>462.147108861243</v>
      </c>
      <c r="AL104" s="338"/>
      <c r="AM104" s="59"/>
      <c r="AN104" s="59">
        <v>1</v>
      </c>
      <c r="AO104" s="59">
        <f t="shared" si="1465"/>
        <v>600</v>
      </c>
      <c r="AP104" s="59"/>
      <c r="AQ104" s="62">
        <v>81.109999999999999</v>
      </c>
      <c r="AR104" s="62" t="s">
        <v>442</v>
      </c>
      <c r="AS104" s="59">
        <v>600</v>
      </c>
      <c r="AT104" s="59" t="s">
        <v>441</v>
      </c>
      <c r="AU104" s="59">
        <v>800</v>
      </c>
      <c r="AV104" s="62">
        <v>14.6407004380704</v>
      </c>
      <c r="AW104" s="59">
        <f t="shared" si="1466"/>
        <v>374.042587232306</v>
      </c>
      <c r="AX104" s="59">
        <v>0</v>
      </c>
      <c r="AY104" s="59"/>
      <c r="AZ104" s="59">
        <f t="shared" si="1452"/>
        <v>4557.9505096009298</v>
      </c>
      <c r="BA104" s="59">
        <v>1957</v>
      </c>
      <c r="BB104" s="59">
        <f t="shared" si="1467"/>
        <v>1777.0764497435</v>
      </c>
      <c r="BC104" s="59">
        <f t="shared" si="1468"/>
        <v>2780.87405985743</v>
      </c>
      <c r="BD104" s="43">
        <f t="shared" si="1458"/>
        <v>1.5648589908772901</v>
      </c>
      <c r="BG104" s="340"/>
    </row>
    <row r="105" ht="17" customHeight="1">
      <c r="A105" s="46">
        <v>67</v>
      </c>
      <c r="B105" s="82" t="s">
        <v>151</v>
      </c>
      <c r="C105" s="46" t="s">
        <v>90</v>
      </c>
      <c r="D105" s="46">
        <v>2019</v>
      </c>
      <c r="E105" s="46" t="s">
        <v>91</v>
      </c>
      <c r="F105" s="46"/>
      <c r="G105" s="73">
        <v>91117</v>
      </c>
      <c r="H105" s="59">
        <f t="shared" si="1442"/>
        <v>82005.300000000003</v>
      </c>
      <c r="I105" s="59">
        <f t="shared" si="1443"/>
        <v>0</v>
      </c>
      <c r="J105" s="59">
        <f t="shared" si="1444"/>
        <v>0</v>
      </c>
      <c r="K105" s="59">
        <f t="shared" si="1445"/>
        <v>0</v>
      </c>
      <c r="L105" s="59">
        <f t="shared" si="1446"/>
        <v>82005.300000000003</v>
      </c>
      <c r="M105" s="59">
        <f t="shared" si="1447"/>
        <v>0</v>
      </c>
      <c r="N105" s="59">
        <v>11591</v>
      </c>
      <c r="O105" s="59">
        <v>17710</v>
      </c>
      <c r="P105" s="59">
        <f t="shared" si="1459"/>
        <v>0</v>
      </c>
      <c r="Q105" s="59"/>
      <c r="R105" s="59"/>
      <c r="S105" s="59"/>
      <c r="T105" s="59"/>
      <c r="U105" s="59">
        <v>2679</v>
      </c>
      <c r="V105" s="59">
        <f t="shared" si="1460"/>
        <v>5569.6246592158896</v>
      </c>
      <c r="W105" s="59">
        <v>11955.92</v>
      </c>
      <c r="X105" s="62">
        <f t="shared" si="1461"/>
        <v>0.59748395196400905</v>
      </c>
      <c r="Y105" s="62">
        <f t="shared" si="1462"/>
        <v>6.1366381738319404</v>
      </c>
      <c r="Z105" s="62">
        <f t="shared" ref="Z105:Z112" si="1470">Y105*1</f>
        <v>6.1366381738319404</v>
      </c>
      <c r="AA105" s="59">
        <f t="shared" si="1463"/>
        <v>2236.0803875922602</v>
      </c>
      <c r="AB105" s="59">
        <v>6045</v>
      </c>
      <c r="AC105" s="59">
        <f t="shared" si="1464"/>
        <v>424.69688307193002</v>
      </c>
      <c r="AD105" s="59"/>
      <c r="AE105" s="59"/>
      <c r="AF105" s="59">
        <v>73</v>
      </c>
      <c r="AG105" s="59">
        <f t="shared" si="1448"/>
        <v>73</v>
      </c>
      <c r="AH105" s="59">
        <f t="shared" si="1449"/>
        <v>833.51826442782601</v>
      </c>
      <c r="AI105" s="59">
        <v>1</v>
      </c>
      <c r="AJ105" s="59">
        <f t="shared" si="1450"/>
        <v>1</v>
      </c>
      <c r="AK105" s="59">
        <f t="shared" si="1451"/>
        <v>462.147108861243</v>
      </c>
      <c r="AL105" s="338"/>
      <c r="AM105" s="59"/>
      <c r="AN105" s="59">
        <v>2</v>
      </c>
      <c r="AO105" s="59">
        <f t="shared" si="1465"/>
        <v>1200</v>
      </c>
      <c r="AP105" s="59"/>
      <c r="AQ105" s="62">
        <v>85.260000000000005</v>
      </c>
      <c r="AR105" s="62" t="s">
        <v>442</v>
      </c>
      <c r="AS105" s="59">
        <v>600</v>
      </c>
      <c r="AT105" s="59" t="s">
        <v>443</v>
      </c>
      <c r="AU105" s="59"/>
      <c r="AV105" s="62">
        <v>13.987333619404399</v>
      </c>
      <c r="AW105" s="59">
        <f t="shared" si="1466"/>
        <v>357.350283725427</v>
      </c>
      <c r="AX105" s="59">
        <v>0</v>
      </c>
      <c r="AY105" s="59"/>
      <c r="AZ105" s="59">
        <f t="shared" si="1452"/>
        <v>11683.4175868946</v>
      </c>
      <c r="BA105" s="59">
        <v>15791</v>
      </c>
      <c r="BB105" s="59">
        <f t="shared" si="1467"/>
        <v>14339.199906949199</v>
      </c>
      <c r="BC105" s="59">
        <f t="shared" si="1468"/>
        <v>-2655.78232005468</v>
      </c>
      <c r="BD105" s="43">
        <f t="shared" si="1458"/>
        <v>-0.18521133238177401</v>
      </c>
      <c r="BG105" s="340"/>
    </row>
    <row r="106" ht="17" customHeight="1">
      <c r="A106" s="46">
        <v>68</v>
      </c>
      <c r="B106" s="82" t="s">
        <v>153</v>
      </c>
      <c r="C106" s="46" t="s">
        <v>90</v>
      </c>
      <c r="D106" s="46">
        <v>2018</v>
      </c>
      <c r="E106" s="46"/>
      <c r="F106" s="46"/>
      <c r="G106" s="73">
        <v>49007</v>
      </c>
      <c r="H106" s="59">
        <f t="shared" si="1442"/>
        <v>39205.599999999999</v>
      </c>
      <c r="I106" s="59">
        <f t="shared" si="1443"/>
        <v>0</v>
      </c>
      <c r="J106" s="59">
        <f t="shared" si="1444"/>
        <v>0</v>
      </c>
      <c r="K106" s="59">
        <f t="shared" si="1445"/>
        <v>39205.599999999999</v>
      </c>
      <c r="L106" s="59">
        <f t="shared" si="1446"/>
        <v>0</v>
      </c>
      <c r="M106" s="59">
        <f t="shared" si="1447"/>
        <v>0</v>
      </c>
      <c r="N106" s="59">
        <v>8904</v>
      </c>
      <c r="O106" s="59">
        <v>14292</v>
      </c>
      <c r="P106" s="59">
        <f t="shared" si="1459"/>
        <v>513.60000000000002</v>
      </c>
      <c r="Q106" s="59">
        <v>856</v>
      </c>
      <c r="R106" s="59"/>
      <c r="S106" s="59"/>
      <c r="T106" s="59"/>
      <c r="U106" s="59">
        <v>1196</v>
      </c>
      <c r="V106" s="59">
        <f t="shared" si="1460"/>
        <v>3514.3899168030698</v>
      </c>
      <c r="W106" s="59">
        <v>11578.01</v>
      </c>
      <c r="X106" s="62">
        <f t="shared" si="1461"/>
        <v>0.65846648873168101</v>
      </c>
      <c r="Y106" s="62">
        <f t="shared" si="1462"/>
        <v>3.81324528289404</v>
      </c>
      <c r="Z106" s="62">
        <f t="shared" si="1469"/>
        <v>1.90662264144702</v>
      </c>
      <c r="AA106" s="59">
        <f t="shared" si="1463"/>
        <v>694.738939189701</v>
      </c>
      <c r="AB106" s="59">
        <v>3279.4400000000001</v>
      </c>
      <c r="AC106" s="59">
        <f t="shared" si="1464"/>
        <v>230.39999110362501</v>
      </c>
      <c r="AD106" s="59"/>
      <c r="AE106" s="59"/>
      <c r="AF106" s="59">
        <v>56</v>
      </c>
      <c r="AG106" s="59">
        <f t="shared" si="1448"/>
        <v>56</v>
      </c>
      <c r="AH106" s="59">
        <f t="shared" si="1449"/>
        <v>639.41127134189401</v>
      </c>
      <c r="AI106" s="59">
        <v>0.87116131309565803</v>
      </c>
      <c r="AJ106" s="59">
        <f t="shared" si="1450"/>
        <v>0.87116131309565803</v>
      </c>
      <c r="AK106" s="59">
        <f t="shared" si="1451"/>
        <v>402.60468219892198</v>
      </c>
      <c r="AL106" s="338" t="s">
        <v>1544</v>
      </c>
      <c r="AM106" s="59">
        <v>100</v>
      </c>
      <c r="AN106" s="59">
        <v>1</v>
      </c>
      <c r="AO106" s="59">
        <f t="shared" si="1465"/>
        <v>600</v>
      </c>
      <c r="AP106" s="59"/>
      <c r="AQ106" s="62">
        <v>75.409999999999997</v>
      </c>
      <c r="AR106" s="62" t="s">
        <v>440</v>
      </c>
      <c r="AS106" s="59"/>
      <c r="AT106" s="59" t="s">
        <v>441</v>
      </c>
      <c r="AU106" s="59">
        <v>800</v>
      </c>
      <c r="AV106" s="62">
        <v>5.7256016754808403</v>
      </c>
      <c r="AW106" s="59">
        <f t="shared" si="1466"/>
        <v>146.27844297596599</v>
      </c>
      <c r="AX106" s="59">
        <v>46.1769313656565</v>
      </c>
      <c r="AY106" s="59"/>
      <c r="AZ106" s="59">
        <f t="shared" si="1452"/>
        <v>7127.8232436131802</v>
      </c>
      <c r="BA106" s="59">
        <v>5758</v>
      </c>
      <c r="BB106" s="59">
        <f t="shared" si="1467"/>
        <v>5228.6183942887601</v>
      </c>
      <c r="BC106" s="59">
        <f t="shared" si="1468"/>
        <v>1899.2048493244199</v>
      </c>
      <c r="BD106" s="43">
        <f t="shared" si="1458"/>
        <v>0.363232637401676</v>
      </c>
      <c r="BG106" s="340"/>
    </row>
    <row r="107" ht="17" customHeight="1">
      <c r="A107" s="46">
        <v>69</v>
      </c>
      <c r="B107" s="82" t="s">
        <v>154</v>
      </c>
      <c r="C107" s="46" t="s">
        <v>90</v>
      </c>
      <c r="D107" s="46">
        <v>2018</v>
      </c>
      <c r="E107" s="46"/>
      <c r="F107" s="46"/>
      <c r="G107" s="73">
        <v>33371</v>
      </c>
      <c r="H107" s="59">
        <f t="shared" si="1442"/>
        <v>26696.799999999999</v>
      </c>
      <c r="I107" s="59">
        <f t="shared" si="1443"/>
        <v>0</v>
      </c>
      <c r="J107" s="59">
        <f t="shared" si="1444"/>
        <v>0</v>
      </c>
      <c r="K107" s="59">
        <f t="shared" si="1445"/>
        <v>26696.799999999999</v>
      </c>
      <c r="L107" s="59">
        <f t="shared" si="1446"/>
        <v>0</v>
      </c>
      <c r="M107" s="59">
        <f t="shared" si="1447"/>
        <v>0</v>
      </c>
      <c r="N107" s="59">
        <v>4668</v>
      </c>
      <c r="O107" s="59">
        <v>10988</v>
      </c>
      <c r="P107" s="59">
        <f t="shared" si="1459"/>
        <v>0</v>
      </c>
      <c r="Q107" s="59"/>
      <c r="R107" s="59"/>
      <c r="S107" s="59"/>
      <c r="T107" s="59"/>
      <c r="U107" s="59">
        <v>988</v>
      </c>
      <c r="V107" s="59">
        <f t="shared" si="1460"/>
        <v>2042.3589029773</v>
      </c>
      <c r="W107" s="59">
        <v>11318.610000000001</v>
      </c>
      <c r="X107" s="62">
        <f t="shared" si="1461"/>
        <v>0.70032531765267803</v>
      </c>
      <c r="Y107" s="62">
        <f t="shared" si="1462"/>
        <v>2.6639674758190202</v>
      </c>
      <c r="Z107" s="62">
        <f t="shared" si="1469"/>
        <v>1.3319837379095101</v>
      </c>
      <c r="AA107" s="59">
        <f t="shared" si="1463"/>
        <v>485.35087592942602</v>
      </c>
      <c r="AB107" s="59">
        <v>3972.9000000000001</v>
      </c>
      <c r="AC107" s="59">
        <f t="shared" si="1464"/>
        <v>279.11964379759701</v>
      </c>
      <c r="AD107" s="59"/>
      <c r="AE107" s="59"/>
      <c r="AF107" s="59">
        <v>8</v>
      </c>
      <c r="AG107" s="59">
        <f t="shared" si="1448"/>
        <v>8</v>
      </c>
      <c r="AH107" s="59">
        <f t="shared" si="1449"/>
        <v>91.344467334556199</v>
      </c>
      <c r="AI107" s="59">
        <v>1</v>
      </c>
      <c r="AJ107" s="59">
        <f t="shared" si="1450"/>
        <v>1</v>
      </c>
      <c r="AK107" s="59">
        <f t="shared" si="1451"/>
        <v>462.147108861243</v>
      </c>
      <c r="AL107" s="338"/>
      <c r="AM107" s="59"/>
      <c r="AN107" s="59">
        <v>1</v>
      </c>
      <c r="AO107" s="59">
        <f t="shared" si="1465"/>
        <v>600</v>
      </c>
      <c r="AP107" s="59"/>
      <c r="AQ107" s="62">
        <v>76.120000000000005</v>
      </c>
      <c r="AR107" s="62" t="s">
        <v>440</v>
      </c>
      <c r="AS107" s="59"/>
      <c r="AT107" s="59" t="s">
        <v>441</v>
      </c>
      <c r="AU107" s="59">
        <v>800</v>
      </c>
      <c r="AV107" s="62">
        <v>13.388449645674401</v>
      </c>
      <c r="AW107" s="59">
        <f t="shared" si="1466"/>
        <v>342.04991528107001</v>
      </c>
      <c r="AX107" s="59">
        <v>1734.40229598203</v>
      </c>
      <c r="AY107" s="59"/>
      <c r="AZ107" s="59">
        <f t="shared" si="1452"/>
        <v>5102.3709141811996</v>
      </c>
      <c r="BA107" s="59">
        <v>4238</v>
      </c>
      <c r="BB107" s="59">
        <f t="shared" si="1467"/>
        <v>3848.36484108992</v>
      </c>
      <c r="BC107" s="59">
        <f t="shared" si="1468"/>
        <v>1254.0060730912801</v>
      </c>
      <c r="BD107" s="43">
        <f t="shared" si="1458"/>
        <v>0.32585425885351399</v>
      </c>
      <c r="BG107" s="340"/>
    </row>
    <row r="108" ht="17" customHeight="1">
      <c r="A108" s="46">
        <v>70</v>
      </c>
      <c r="B108" s="82" t="s">
        <v>152</v>
      </c>
      <c r="C108" s="46" t="s">
        <v>90</v>
      </c>
      <c r="D108" s="46">
        <v>2019</v>
      </c>
      <c r="E108" s="46" t="s">
        <v>91</v>
      </c>
      <c r="F108" s="46"/>
      <c r="G108" s="73">
        <v>60317</v>
      </c>
      <c r="H108" s="59">
        <f t="shared" si="1442"/>
        <v>54285.300000000003</v>
      </c>
      <c r="I108" s="59">
        <f t="shared" si="1443"/>
        <v>0</v>
      </c>
      <c r="J108" s="59">
        <f t="shared" si="1444"/>
        <v>0</v>
      </c>
      <c r="K108" s="59">
        <f t="shared" si="1445"/>
        <v>0</v>
      </c>
      <c r="L108" s="59">
        <f t="shared" si="1446"/>
        <v>54285.300000000003</v>
      </c>
      <c r="M108" s="59">
        <f t="shared" si="1447"/>
        <v>0</v>
      </c>
      <c r="N108" s="59">
        <v>9511</v>
      </c>
      <c r="O108" s="59">
        <v>8913</v>
      </c>
      <c r="P108" s="59">
        <f t="shared" si="1459"/>
        <v>640.20000000000005</v>
      </c>
      <c r="Q108" s="59">
        <v>1067</v>
      </c>
      <c r="R108" s="59"/>
      <c r="S108" s="59"/>
      <c r="T108" s="59"/>
      <c r="U108" s="59">
        <v>2232</v>
      </c>
      <c r="V108" s="59">
        <f t="shared" si="1460"/>
        <v>4351.0883872651102</v>
      </c>
      <c r="W108" s="59">
        <v>11682.860000000001</v>
      </c>
      <c r="X108" s="62">
        <f t="shared" si="1461"/>
        <v>0.64154706617051405</v>
      </c>
      <c r="Y108" s="62">
        <f t="shared" si="1462"/>
        <v>4.4797948536554699</v>
      </c>
      <c r="Z108" s="62">
        <f t="shared" si="1470"/>
        <v>4.4797948536554699</v>
      </c>
      <c r="AA108" s="59">
        <f t="shared" si="1463"/>
        <v>1632.35653283443</v>
      </c>
      <c r="AB108" s="59">
        <v>12501</v>
      </c>
      <c r="AC108" s="59">
        <f t="shared" si="1464"/>
        <v>878.26893883907405</v>
      </c>
      <c r="AD108" s="59"/>
      <c r="AE108" s="59"/>
      <c r="AF108" s="59">
        <v>36</v>
      </c>
      <c r="AG108" s="59">
        <f t="shared" si="1448"/>
        <v>36</v>
      </c>
      <c r="AH108" s="59">
        <f t="shared" si="1449"/>
        <v>411.05010300550299</v>
      </c>
      <c r="AI108" s="59">
        <v>0.78000000000000003</v>
      </c>
      <c r="AJ108" s="59">
        <f t="shared" si="1450"/>
        <v>0.78000000000000003</v>
      </c>
      <c r="AK108" s="59">
        <f t="shared" si="1451"/>
        <v>360.47474491176899</v>
      </c>
      <c r="AL108" s="338"/>
      <c r="AM108" s="59"/>
      <c r="AN108" s="59">
        <v>2</v>
      </c>
      <c r="AO108" s="59">
        <f t="shared" si="1465"/>
        <v>1200</v>
      </c>
      <c r="AP108" s="59"/>
      <c r="AQ108" s="62">
        <v>76.379999999999995</v>
      </c>
      <c r="AR108" s="62" t="s">
        <v>440</v>
      </c>
      <c r="AS108" s="59"/>
      <c r="AT108" s="59" t="s">
        <v>443</v>
      </c>
      <c r="AU108" s="59"/>
      <c r="AV108" s="62">
        <v>13.657782248898</v>
      </c>
      <c r="AW108" s="59">
        <f t="shared" si="1466"/>
        <v>348.93086091354797</v>
      </c>
      <c r="AX108" s="59">
        <v>1644.7588224010699</v>
      </c>
      <c r="AY108" s="59"/>
      <c r="AZ108" s="59">
        <f t="shared" si="1452"/>
        <v>9182.1695677694406</v>
      </c>
      <c r="BA108" s="59">
        <v>9866</v>
      </c>
      <c r="BB108" s="59">
        <f t="shared" si="1467"/>
        <v>8958.9352341182494</v>
      </c>
      <c r="BC108" s="59">
        <f t="shared" si="1468"/>
        <v>223.234333651188</v>
      </c>
      <c r="BD108" s="43">
        <f t="shared" si="1458"/>
        <v>2.4917507250308699e-002</v>
      </c>
      <c r="BG108" s="340"/>
    </row>
    <row r="109" ht="17" customHeight="1">
      <c r="A109" s="46">
        <v>71</v>
      </c>
      <c r="B109" s="82" t="s">
        <v>155</v>
      </c>
      <c r="C109" s="46" t="s">
        <v>93</v>
      </c>
      <c r="D109" s="46">
        <v>2019</v>
      </c>
      <c r="E109" s="46" t="s">
        <v>91</v>
      </c>
      <c r="F109" s="46" t="s">
        <v>146</v>
      </c>
      <c r="G109" s="73">
        <v>35696</v>
      </c>
      <c r="H109" s="59">
        <f t="shared" si="1442"/>
        <v>32126.400000000001</v>
      </c>
      <c r="I109" s="59">
        <f t="shared" si="1443"/>
        <v>0</v>
      </c>
      <c r="J109" s="59">
        <f t="shared" si="1444"/>
        <v>0</v>
      </c>
      <c r="K109" s="59">
        <f t="shared" si="1445"/>
        <v>0</v>
      </c>
      <c r="L109" s="59">
        <f t="shared" si="1446"/>
        <v>32126.400000000001</v>
      </c>
      <c r="M109" s="59">
        <f t="shared" si="1447"/>
        <v>0</v>
      </c>
      <c r="N109" s="59">
        <v>3264</v>
      </c>
      <c r="O109" s="59">
        <v>9378</v>
      </c>
      <c r="P109" s="59">
        <f t="shared" si="1459"/>
        <v>0</v>
      </c>
      <c r="Q109" s="59"/>
      <c r="R109" s="59"/>
      <c r="S109" s="59"/>
      <c r="T109" s="59"/>
      <c r="U109" s="59">
        <v>838</v>
      </c>
      <c r="V109" s="59">
        <f t="shared" si="1460"/>
        <v>1843.9261492584401</v>
      </c>
      <c r="W109" s="59">
        <v>12061.309999999999</v>
      </c>
      <c r="X109" s="62">
        <f t="shared" si="1461"/>
        <v>0.58047739074587501</v>
      </c>
      <c r="Y109" s="62">
        <f t="shared" si="1462"/>
        <v>2.26153991434593</v>
      </c>
      <c r="Z109" s="62">
        <f t="shared" si="1470"/>
        <v>2.26153991434593</v>
      </c>
      <c r="AA109" s="59">
        <f t="shared" si="1463"/>
        <v>824.064398939174</v>
      </c>
      <c r="AB109" s="59">
        <v>1910.5999999999999</v>
      </c>
      <c r="AC109" s="59">
        <f t="shared" si="1464"/>
        <v>134.23091229069101</v>
      </c>
      <c r="AD109" s="59"/>
      <c r="AE109" s="59"/>
      <c r="AF109" s="59">
        <v>2</v>
      </c>
      <c r="AG109" s="59">
        <f t="shared" si="1448"/>
        <v>2</v>
      </c>
      <c r="AH109" s="59">
        <f t="shared" si="1449"/>
        <v>22.8361168336391</v>
      </c>
      <c r="AI109" s="59">
        <v>1</v>
      </c>
      <c r="AJ109" s="59">
        <f t="shared" si="1450"/>
        <v>1</v>
      </c>
      <c r="AK109" s="59">
        <f t="shared" si="1451"/>
        <v>462.147108861243</v>
      </c>
      <c r="AL109" s="338"/>
      <c r="AM109" s="59"/>
      <c r="AN109" s="59">
        <v>2</v>
      </c>
      <c r="AO109" s="59">
        <f t="shared" si="1465"/>
        <v>1200</v>
      </c>
      <c r="AP109" s="59"/>
      <c r="AQ109" s="62">
        <v>81.329999999999998</v>
      </c>
      <c r="AR109" s="62" t="s">
        <v>442</v>
      </c>
      <c r="AS109" s="59">
        <v>600</v>
      </c>
      <c r="AT109" s="59" t="s">
        <v>443</v>
      </c>
      <c r="AU109" s="59"/>
      <c r="AV109" s="62">
        <v>14.474034289422001</v>
      </c>
      <c r="AW109" s="59">
        <f t="shared" si="1466"/>
        <v>369.78457801285703</v>
      </c>
      <c r="AX109" s="59">
        <v>1312.13521084392</v>
      </c>
      <c r="AY109" s="59"/>
      <c r="AZ109" s="59">
        <f t="shared" si="1452"/>
        <v>5456.9892641960496</v>
      </c>
      <c r="BA109" s="59">
        <v>12424</v>
      </c>
      <c r="BB109" s="59">
        <f t="shared" si="1467"/>
        <v>11281.756674304201</v>
      </c>
      <c r="BC109" s="59">
        <f t="shared" si="1468"/>
        <v>-5824.7674101081402</v>
      </c>
      <c r="BD109" s="43">
        <f t="shared" si="1458"/>
        <v>-0.51629968437228202</v>
      </c>
      <c r="BG109" s="340"/>
    </row>
    <row r="110" ht="17" customHeight="1">
      <c r="A110" s="46">
        <v>72</v>
      </c>
      <c r="B110" s="82" t="s">
        <v>157</v>
      </c>
      <c r="C110" s="46" t="s">
        <v>93</v>
      </c>
      <c r="D110" s="46">
        <v>2020</v>
      </c>
      <c r="E110" s="46" t="s">
        <v>94</v>
      </c>
      <c r="F110" s="46" t="s">
        <v>146</v>
      </c>
      <c r="G110" s="73">
        <v>196287</v>
      </c>
      <c r="H110" s="59">
        <f t="shared" si="1442"/>
        <v>196287</v>
      </c>
      <c r="I110" s="59">
        <f t="shared" si="1443"/>
        <v>0</v>
      </c>
      <c r="J110" s="59">
        <f t="shared" si="1444"/>
        <v>0</v>
      </c>
      <c r="K110" s="59">
        <f t="shared" si="1445"/>
        <v>0</v>
      </c>
      <c r="L110" s="59">
        <f t="shared" si="1446"/>
        <v>0</v>
      </c>
      <c r="M110" s="59">
        <f t="shared" si="1447"/>
        <v>196287</v>
      </c>
      <c r="N110" s="59">
        <v>32467</v>
      </c>
      <c r="O110" s="59">
        <v>17210</v>
      </c>
      <c r="P110" s="59">
        <f t="shared" si="1459"/>
        <v>1731.5999999999999</v>
      </c>
      <c r="Q110" s="59">
        <v>2886</v>
      </c>
      <c r="R110" s="59"/>
      <c r="S110" s="59"/>
      <c r="T110" s="59"/>
      <c r="U110" s="59">
        <v>2533</v>
      </c>
      <c r="V110" s="59">
        <f t="shared" si="1460"/>
        <v>13861.225305313201</v>
      </c>
      <c r="W110" s="59">
        <v>11840.91</v>
      </c>
      <c r="X110" s="62">
        <f t="shared" si="1461"/>
        <v>0.61604287221922804</v>
      </c>
      <c r="Y110" s="62">
        <f t="shared" si="1462"/>
        <v>14.092227119163701</v>
      </c>
      <c r="Z110" s="62">
        <f t="shared" si="1470"/>
        <v>14.092227119163701</v>
      </c>
      <c r="AA110" s="59">
        <f t="shared" si="1463"/>
        <v>5134.9536645373</v>
      </c>
      <c r="AB110" s="59">
        <v>61435.459999999999</v>
      </c>
      <c r="AC110" s="59">
        <f t="shared" si="1464"/>
        <v>4316.2032046468603</v>
      </c>
      <c r="AD110" s="59"/>
      <c r="AE110" s="59"/>
      <c r="AF110" s="59">
        <v>31</v>
      </c>
      <c r="AG110" s="59">
        <f t="shared" si="1448"/>
        <v>31</v>
      </c>
      <c r="AH110" s="59">
        <f t="shared" si="1449"/>
        <v>353.95981092140499</v>
      </c>
      <c r="AI110" s="59">
        <v>0.97077488985003402</v>
      </c>
      <c r="AJ110" s="59">
        <f t="shared" si="1450"/>
        <v>0.97077488985003402</v>
      </c>
      <c r="AK110" s="59">
        <f t="shared" si="1451"/>
        <v>448.64080869928398</v>
      </c>
      <c r="AL110" s="338" t="s">
        <v>1544</v>
      </c>
      <c r="AM110" s="59">
        <v>100</v>
      </c>
      <c r="AN110" s="59">
        <v>2</v>
      </c>
      <c r="AO110" s="59">
        <f t="shared" si="1465"/>
        <v>1200</v>
      </c>
      <c r="AP110" s="59">
        <f>5000+N110/470414*13615</f>
        <v>5939.6791018124504</v>
      </c>
      <c r="AQ110" s="62">
        <v>80.010000000000005</v>
      </c>
      <c r="AR110" s="62" t="s">
        <v>442</v>
      </c>
      <c r="AS110" s="59">
        <v>600</v>
      </c>
      <c r="AT110" s="59" t="s">
        <v>443</v>
      </c>
      <c r="AU110" s="59"/>
      <c r="AV110" s="62">
        <v>14.694939370992</v>
      </c>
      <c r="AW110" s="59">
        <f t="shared" si="1466"/>
        <v>375.42829079782399</v>
      </c>
      <c r="AX110" s="59">
        <v>0</v>
      </c>
      <c r="AY110" s="59"/>
      <c r="AZ110" s="59">
        <f t="shared" si="1452"/>
        <v>32330.090186728299</v>
      </c>
      <c r="BA110" s="59">
        <v>33991</v>
      </c>
      <c r="BB110" s="59">
        <f t="shared" si="1467"/>
        <v>30865.920083409001</v>
      </c>
      <c r="BC110" s="59">
        <f t="shared" si="1468"/>
        <v>1464.1701033192601</v>
      </c>
      <c r="BD110" s="43">
        <f t="shared" si="1458"/>
        <v>4.7436463885172697e-002</v>
      </c>
      <c r="BF110" s="84"/>
      <c r="BG110" s="339"/>
    </row>
    <row r="111" ht="17" customHeight="1">
      <c r="A111" s="46">
        <v>73</v>
      </c>
      <c r="B111" s="82" t="s">
        <v>156</v>
      </c>
      <c r="C111" s="46" t="s">
        <v>90</v>
      </c>
      <c r="D111" s="46">
        <v>2018</v>
      </c>
      <c r="E111" s="46" t="s">
        <v>91</v>
      </c>
      <c r="F111" s="46" t="s">
        <v>146</v>
      </c>
      <c r="G111" s="73">
        <v>28213</v>
      </c>
      <c r="H111" s="59">
        <f t="shared" si="1442"/>
        <v>22570.400000000001</v>
      </c>
      <c r="I111" s="59">
        <f t="shared" si="1443"/>
        <v>0</v>
      </c>
      <c r="J111" s="59">
        <f t="shared" si="1444"/>
        <v>0</v>
      </c>
      <c r="K111" s="59">
        <f t="shared" si="1445"/>
        <v>22570.400000000001</v>
      </c>
      <c r="L111" s="59">
        <f t="shared" si="1446"/>
        <v>0</v>
      </c>
      <c r="M111" s="59">
        <f t="shared" si="1447"/>
        <v>0</v>
      </c>
      <c r="N111" s="59">
        <v>3605</v>
      </c>
      <c r="O111" s="59">
        <v>214</v>
      </c>
      <c r="P111" s="59">
        <f t="shared" si="1459"/>
        <v>0</v>
      </c>
      <c r="Q111" s="59"/>
      <c r="R111" s="59"/>
      <c r="S111" s="59"/>
      <c r="T111" s="59"/>
      <c r="U111" s="59">
        <v>356</v>
      </c>
      <c r="V111" s="59">
        <f t="shared" si="1460"/>
        <v>1536.3367739855801</v>
      </c>
      <c r="W111" s="59">
        <v>13102.719999999999</v>
      </c>
      <c r="X111" s="62">
        <f t="shared" si="1461"/>
        <v>0.41242726342661501</v>
      </c>
      <c r="Y111" s="62">
        <f t="shared" si="1462"/>
        <v>1.3122610667707999</v>
      </c>
      <c r="Z111" s="62">
        <f t="shared" si="1470"/>
        <v>1.3122610667707999</v>
      </c>
      <c r="AA111" s="59">
        <f t="shared" si="1463"/>
        <v>478.16428990708999</v>
      </c>
      <c r="AB111" s="59">
        <v>3112.7800000000002</v>
      </c>
      <c r="AC111" s="59">
        <f t="shared" si="1464"/>
        <v>218.69114370366299</v>
      </c>
      <c r="AD111" s="59"/>
      <c r="AE111" s="59"/>
      <c r="AF111" s="59">
        <v>2</v>
      </c>
      <c r="AG111" s="59">
        <f t="shared" si="1448"/>
        <v>2</v>
      </c>
      <c r="AH111" s="59">
        <f t="shared" si="1449"/>
        <v>22.8361168336391</v>
      </c>
      <c r="AI111" s="59">
        <v>0.80823221508446397</v>
      </c>
      <c r="AJ111" s="59">
        <f t="shared" si="1450"/>
        <v>0.80823221508446397</v>
      </c>
      <c r="AK111" s="59">
        <f t="shared" si="1451"/>
        <v>373.52218148980302</v>
      </c>
      <c r="AL111" s="338" t="s">
        <v>1544</v>
      </c>
      <c r="AM111" s="59">
        <v>100</v>
      </c>
      <c r="AN111" s="59">
        <v>2</v>
      </c>
      <c r="AO111" s="59">
        <f t="shared" si="1465"/>
        <v>1200</v>
      </c>
      <c r="AP111" s="59"/>
      <c r="AQ111" s="62">
        <v>85.299999999999997</v>
      </c>
      <c r="AR111" s="62" t="s">
        <v>442</v>
      </c>
      <c r="AS111" s="59">
        <v>600</v>
      </c>
      <c r="AT111" s="59" t="s">
        <v>443</v>
      </c>
      <c r="AU111" s="59"/>
      <c r="AV111" s="62">
        <v>13.970534292422</v>
      </c>
      <c r="AW111" s="59">
        <f t="shared" si="1466"/>
        <v>356.92109225642298</v>
      </c>
      <c r="AX111" s="59">
        <v>1357.5305714998799</v>
      </c>
      <c r="AY111" s="59"/>
      <c r="AZ111" s="59">
        <f t="shared" si="1452"/>
        <v>4886.4715981762001</v>
      </c>
      <c r="BA111" s="59">
        <v>9972</v>
      </c>
      <c r="BB111" s="59">
        <f t="shared" si="1467"/>
        <v>9055.1897582228994</v>
      </c>
      <c r="BC111" s="59">
        <f t="shared" si="1468"/>
        <v>-4168.7181600467102</v>
      </c>
      <c r="BD111" s="43">
        <f t="shared" si="1458"/>
        <v>-0.46036784113343898</v>
      </c>
      <c r="BG111" s="340"/>
    </row>
    <row r="112" ht="17" customHeight="1">
      <c r="A112" s="46">
        <v>74</v>
      </c>
      <c r="B112" s="82" t="s">
        <v>158</v>
      </c>
      <c r="C112" s="46" t="s">
        <v>90</v>
      </c>
      <c r="D112" s="46">
        <v>2018</v>
      </c>
      <c r="E112" s="46" t="s">
        <v>91</v>
      </c>
      <c r="F112" s="46" t="s">
        <v>146</v>
      </c>
      <c r="G112" s="73">
        <v>29707</v>
      </c>
      <c r="H112" s="59">
        <f t="shared" si="1442"/>
        <v>23765.599999999999</v>
      </c>
      <c r="I112" s="59">
        <f t="shared" si="1443"/>
        <v>0</v>
      </c>
      <c r="J112" s="59">
        <f t="shared" si="1444"/>
        <v>0</v>
      </c>
      <c r="K112" s="59">
        <f t="shared" si="1445"/>
        <v>23765.599999999999</v>
      </c>
      <c r="L112" s="59">
        <f t="shared" si="1446"/>
        <v>0</v>
      </c>
      <c r="M112" s="59">
        <f t="shared" si="1447"/>
        <v>0</v>
      </c>
      <c r="N112" s="59">
        <v>4444</v>
      </c>
      <c r="O112" s="59">
        <v>218</v>
      </c>
      <c r="P112" s="59">
        <f t="shared" si="1459"/>
        <v>0</v>
      </c>
      <c r="Q112" s="59"/>
      <c r="R112" s="59"/>
      <c r="S112" s="59"/>
      <c r="T112" s="59"/>
      <c r="U112" s="59">
        <v>485</v>
      </c>
      <c r="V112" s="59">
        <f t="shared" si="1460"/>
        <v>1789.92212507573</v>
      </c>
      <c r="W112" s="59">
        <v>11726.4</v>
      </c>
      <c r="X112" s="62">
        <f t="shared" si="1461"/>
        <v>0.63452110853281096</v>
      </c>
      <c r="Y112" s="62">
        <f t="shared" si="1462"/>
        <v>2.1669530377504</v>
      </c>
      <c r="Z112" s="62">
        <f t="shared" si="1470"/>
        <v>2.1669530377504</v>
      </c>
      <c r="AA112" s="59">
        <f t="shared" si="1463"/>
        <v>789.59864526629701</v>
      </c>
      <c r="AB112" s="59">
        <v>1604.5999999999999</v>
      </c>
      <c r="AC112" s="59">
        <f t="shared" si="1464"/>
        <v>112.732608532212</v>
      </c>
      <c r="AD112" s="59"/>
      <c r="AE112" s="59"/>
      <c r="AF112" s="59">
        <v>6</v>
      </c>
      <c r="AG112" s="59">
        <f t="shared" si="1448"/>
        <v>6</v>
      </c>
      <c r="AH112" s="59">
        <f t="shared" si="1449"/>
        <v>68.508350500917203</v>
      </c>
      <c r="AI112" s="59">
        <v>1</v>
      </c>
      <c r="AJ112" s="59">
        <f t="shared" si="1450"/>
        <v>1</v>
      </c>
      <c r="AK112" s="59">
        <f t="shared" si="1451"/>
        <v>462.147108861243</v>
      </c>
      <c r="AL112" s="338"/>
      <c r="AM112" s="59"/>
      <c r="AN112" s="59">
        <v>2</v>
      </c>
      <c r="AO112" s="59">
        <f t="shared" si="1465"/>
        <v>1200</v>
      </c>
      <c r="AP112" s="59"/>
      <c r="AQ112" s="62">
        <v>81.420000000000002</v>
      </c>
      <c r="AR112" s="62" t="s">
        <v>442</v>
      </c>
      <c r="AS112" s="59">
        <v>600</v>
      </c>
      <c r="AT112" s="59" t="s">
        <v>443</v>
      </c>
      <c r="AU112" s="59"/>
      <c r="AV112" s="62">
        <v>13.9745682865516</v>
      </c>
      <c r="AW112" s="59">
        <f t="shared" si="1466"/>
        <v>357.02415328191802</v>
      </c>
      <c r="AX112" s="59">
        <v>38.747129480782803</v>
      </c>
      <c r="AY112" s="59"/>
      <c r="AZ112" s="59">
        <f t="shared" si="1452"/>
        <v>5379.9329915183098</v>
      </c>
      <c r="BA112" s="59">
        <v>11972</v>
      </c>
      <c r="BB112" s="59">
        <f t="shared" si="1467"/>
        <v>10871.3128545372</v>
      </c>
      <c r="BC112" s="59">
        <f t="shared" si="1468"/>
        <v>-5491.3798630188503</v>
      </c>
      <c r="BD112" s="43">
        <f t="shared" si="1458"/>
        <v>-0.50512573196042398</v>
      </c>
      <c r="BG112" s="340"/>
    </row>
    <row r="113" s="5" customFormat="1" ht="30" customHeight="1">
      <c r="A113" s="65"/>
      <c r="B113" s="66" t="s">
        <v>159</v>
      </c>
      <c r="C113" s="67">
        <v>1</v>
      </c>
      <c r="D113" s="67"/>
      <c r="E113" s="67"/>
      <c r="F113" s="68"/>
      <c r="G113" s="69">
        <f t="shared" ref="G113:P113" si="1471">G114+G115</f>
        <v>66152</v>
      </c>
      <c r="H113" s="69">
        <f t="shared" si="1471"/>
        <v>47523.800000000003</v>
      </c>
      <c r="I113" s="69">
        <f t="shared" si="1471"/>
        <v>7888.8000000000002</v>
      </c>
      <c r="J113" s="69">
        <f t="shared" si="1471"/>
        <v>19377.400000000001</v>
      </c>
      <c r="K113" s="69">
        <f t="shared" si="1471"/>
        <v>20257.599999999999</v>
      </c>
      <c r="L113" s="69">
        <f t="shared" si="1471"/>
        <v>0</v>
      </c>
      <c r="M113" s="69">
        <f t="shared" si="1471"/>
        <v>0</v>
      </c>
      <c r="N113" s="69">
        <f t="shared" si="1471"/>
        <v>8532</v>
      </c>
      <c r="O113" s="69">
        <f t="shared" si="1471"/>
        <v>753</v>
      </c>
      <c r="P113" s="69">
        <f t="shared" si="1471"/>
        <v>0</v>
      </c>
      <c r="Q113" s="59">
        <v>0</v>
      </c>
      <c r="R113" s="69">
        <f t="shared" ref="R113:V113" si="1472">R114+R115</f>
        <v>0</v>
      </c>
      <c r="S113" s="69">
        <f t="shared" si="1472"/>
        <v>0</v>
      </c>
      <c r="T113" s="69">
        <f t="shared" si="1472"/>
        <v>0</v>
      </c>
      <c r="U113" s="69">
        <f t="shared" si="1472"/>
        <v>589</v>
      </c>
      <c r="V113" s="69">
        <f t="shared" si="1472"/>
        <v>3409.25558688926</v>
      </c>
      <c r="W113" s="69"/>
      <c r="X113" s="69">
        <f t="shared" ref="X113:AM113" si="1473">X114+X115</f>
        <v>1.0181732510142001</v>
      </c>
      <c r="Y113" s="69">
        <f t="shared" si="1473"/>
        <v>2.3200726103837002</v>
      </c>
      <c r="Z113" s="69">
        <f t="shared" si="1473"/>
        <v>0.94770666530041903</v>
      </c>
      <c r="AA113" s="69">
        <f t="shared" si="1473"/>
        <v>345.32723413696999</v>
      </c>
      <c r="AB113" s="69">
        <f t="shared" si="1473"/>
        <v>1184.2</v>
      </c>
      <c r="AC113" s="69">
        <f t="shared" si="1473"/>
        <v>83.197030427424295</v>
      </c>
      <c r="AD113" s="69">
        <f t="shared" si="1473"/>
        <v>0</v>
      </c>
      <c r="AE113" s="69">
        <f t="shared" si="1473"/>
        <v>0</v>
      </c>
      <c r="AF113" s="69">
        <f t="shared" si="1473"/>
        <v>50</v>
      </c>
      <c r="AG113" s="59">
        <f t="shared" si="1473"/>
        <v>44</v>
      </c>
      <c r="AH113" s="59">
        <f t="shared" si="1473"/>
        <v>502.39457034005898</v>
      </c>
      <c r="AI113" s="69">
        <f t="shared" si="1473"/>
        <v>2.0920034393809099</v>
      </c>
      <c r="AJ113" s="59">
        <f t="shared" si="1473"/>
        <v>2.0460017196904601</v>
      </c>
      <c r="AK113" s="59">
        <f t="shared" si="1473"/>
        <v>945.55377948007401</v>
      </c>
      <c r="AL113" s="69">
        <f t="shared" si="1473"/>
        <v>0</v>
      </c>
      <c r="AM113" s="69">
        <f t="shared" si="1473"/>
        <v>0</v>
      </c>
      <c r="AN113" s="69">
        <v>3</v>
      </c>
      <c r="AO113" s="69">
        <f t="shared" ref="AO113:AR113" si="1474">AO114+AO115</f>
        <v>1800</v>
      </c>
      <c r="AP113" s="69">
        <f t="shared" si="1474"/>
        <v>0</v>
      </c>
      <c r="AQ113" s="69">
        <f t="shared" si="1474"/>
        <v>229.97999999999999</v>
      </c>
      <c r="AR113" s="69">
        <f t="shared" si="1474"/>
        <v>0</v>
      </c>
      <c r="AS113" s="69">
        <v>300</v>
      </c>
      <c r="AT113" s="69"/>
      <c r="AU113" s="69">
        <v>800</v>
      </c>
      <c r="AV113" s="71">
        <f t="shared" ref="AV113:BC113" si="1475">AV114+AV115</f>
        <v>29.515979245822901</v>
      </c>
      <c r="AW113" s="71">
        <v>754.07821425637405</v>
      </c>
      <c r="AX113" s="69">
        <f t="shared" si="1475"/>
        <v>2304.6758890969099</v>
      </c>
      <c r="AY113" s="71">
        <f t="shared" si="1475"/>
        <v>0</v>
      </c>
      <c r="AZ113" s="71">
        <f t="shared" si="1475"/>
        <v>8939.8064155301599</v>
      </c>
      <c r="BA113" s="71">
        <f t="shared" si="1475"/>
        <v>25391</v>
      </c>
      <c r="BB113" s="69">
        <f t="shared" si="1475"/>
        <v>23056.590769257698</v>
      </c>
      <c r="BC113" s="69">
        <f t="shared" si="1475"/>
        <v>-14116.7843537275</v>
      </c>
      <c r="BD113" s="336">
        <f t="shared" si="1458"/>
        <v>-0.61226676983615602</v>
      </c>
      <c r="BG113" s="340"/>
    </row>
    <row r="114" s="5" customFormat="1" ht="30" customHeight="1">
      <c r="A114" s="44"/>
      <c r="B114" s="72" t="s">
        <v>160</v>
      </c>
      <c r="C114" s="46">
        <v>2</v>
      </c>
      <c r="D114" s="46"/>
      <c r="E114" s="46"/>
      <c r="F114" s="46"/>
      <c r="G114" s="73"/>
      <c r="H114" s="59">
        <f t="shared" ref="H114:H118" si="1476">SUM(I114:M114)</f>
        <v>0</v>
      </c>
      <c r="I114" s="59">
        <f t="shared" ref="I114:I118" si="1477">IF(D114="",G114*0.6,0)</f>
        <v>0</v>
      </c>
      <c r="J114" s="59">
        <f t="shared" ref="J114:J118" si="1478">IF(D114=2017,G114*0.7,0)</f>
        <v>0</v>
      </c>
      <c r="K114" s="59">
        <f t="shared" ref="K114:K118" si="1479">IF(D114=2018,G114*0.8,0)</f>
        <v>0</v>
      </c>
      <c r="L114" s="59">
        <f t="shared" ref="L114:L118" si="1480">IF(D114=2019,G114*0.9,0)</f>
        <v>0</v>
      </c>
      <c r="M114" s="59">
        <f t="shared" ref="M114:M118" si="1481">IF(D114=2020,G114*1,0)</f>
        <v>0</v>
      </c>
      <c r="N114" s="59"/>
      <c r="O114" s="59"/>
      <c r="P114" s="59">
        <f>L114*0.4+M114*0.6+N114*0.8+O114*1</f>
        <v>0</v>
      </c>
      <c r="Q114" s="59"/>
      <c r="R114" s="59"/>
      <c r="S114" s="59"/>
      <c r="T114" s="59"/>
      <c r="U114" s="59"/>
      <c r="V114" s="59">
        <f>H114/$H$9*134866+N114/$N$9*202299+P114/$P$9*100000+U114/$U$9*34867</f>
        <v>0</v>
      </c>
      <c r="W114" s="59"/>
      <c r="X114" s="62"/>
      <c r="Y114" s="62"/>
      <c r="Z114" s="62"/>
      <c r="AA114" s="59"/>
      <c r="AB114" s="59"/>
      <c r="AC114" s="59"/>
      <c r="AD114" s="59"/>
      <c r="AE114" s="59"/>
      <c r="AF114" s="59"/>
      <c r="AG114" s="59">
        <f t="shared" ref="AG114:AG118" si="1482">AF114</f>
        <v>0</v>
      </c>
      <c r="AH114" s="59">
        <f t="shared" ref="AH114:AH118" si="1483">AG114/$AG$9*40459.89</f>
        <v>0</v>
      </c>
      <c r="AI114" s="59"/>
      <c r="AJ114" s="59">
        <f t="shared" ref="AJ114:AJ118" si="1484">AI114</f>
        <v>0</v>
      </c>
      <c r="AK114" s="59">
        <f t="shared" ref="AK114:AK118" si="1485">AJ114/$AJ$9*40459.89</f>
        <v>0</v>
      </c>
      <c r="AL114" s="59"/>
      <c r="AM114" s="59"/>
      <c r="AN114" s="59"/>
      <c r="AO114" s="59"/>
      <c r="AP114" s="59"/>
      <c r="AQ114" s="62"/>
      <c r="AR114" s="62"/>
      <c r="AS114" s="59"/>
      <c r="AT114" s="59"/>
      <c r="AU114" s="59"/>
      <c r="AV114" s="62"/>
      <c r="AW114" s="59">
        <v>0</v>
      </c>
      <c r="AX114" s="59"/>
      <c r="AY114" s="59"/>
      <c r="AZ114" s="59">
        <f t="shared" ref="AZ114:AZ118" si="1486">V114+AA114+AC114+AE114+AH114+AK114+AM114+AO114+AP114+AS114+AU114+AW114+AY114</f>
        <v>0</v>
      </c>
      <c r="BA114" s="73"/>
      <c r="BB114" s="170"/>
      <c r="BC114" s="50"/>
      <c r="BD114" s="43"/>
      <c r="BG114" s="340"/>
    </row>
    <row r="115" s="5" customFormat="1" ht="17" customHeight="1">
      <c r="A115" s="75"/>
      <c r="B115" s="76" t="s">
        <v>76</v>
      </c>
      <c r="C115" s="77">
        <v>3</v>
      </c>
      <c r="D115" s="77"/>
      <c r="E115" s="77"/>
      <c r="F115" s="78"/>
      <c r="G115" s="79">
        <f t="shared" ref="G115:P115" si="1487">SUM(G116:G118)</f>
        <v>66152</v>
      </c>
      <c r="H115" s="79">
        <f t="shared" si="1487"/>
        <v>47523.800000000003</v>
      </c>
      <c r="I115" s="79">
        <f t="shared" si="1487"/>
        <v>7888.8000000000002</v>
      </c>
      <c r="J115" s="79">
        <f t="shared" si="1487"/>
        <v>19377.400000000001</v>
      </c>
      <c r="K115" s="79">
        <f t="shared" si="1487"/>
        <v>20257.599999999999</v>
      </c>
      <c r="L115" s="79">
        <f t="shared" si="1487"/>
        <v>0</v>
      </c>
      <c r="M115" s="79">
        <f t="shared" si="1487"/>
        <v>0</v>
      </c>
      <c r="N115" s="79">
        <f t="shared" si="1487"/>
        <v>8532</v>
      </c>
      <c r="O115" s="79">
        <f t="shared" si="1487"/>
        <v>753</v>
      </c>
      <c r="P115" s="79">
        <f t="shared" si="1487"/>
        <v>0</v>
      </c>
      <c r="Q115" s="59">
        <v>0</v>
      </c>
      <c r="R115" s="79">
        <f t="shared" ref="R115:V115" si="1488">SUM(R116:R118)</f>
        <v>0</v>
      </c>
      <c r="S115" s="79">
        <f t="shared" si="1488"/>
        <v>0</v>
      </c>
      <c r="T115" s="79">
        <f t="shared" si="1488"/>
        <v>0</v>
      </c>
      <c r="U115" s="79">
        <f t="shared" si="1488"/>
        <v>589</v>
      </c>
      <c r="V115" s="79">
        <f t="shared" si="1488"/>
        <v>3409.25558688926</v>
      </c>
      <c r="W115" s="79"/>
      <c r="X115" s="79">
        <f t="shared" ref="X115:AM115" si="1489">SUM(X116:X118)</f>
        <v>1.0181732510142001</v>
      </c>
      <c r="Y115" s="79">
        <f t="shared" si="1489"/>
        <v>2.3200726103837002</v>
      </c>
      <c r="Z115" s="79">
        <f t="shared" si="1489"/>
        <v>0.94770666530041903</v>
      </c>
      <c r="AA115" s="79">
        <f t="shared" si="1489"/>
        <v>345.32723413696999</v>
      </c>
      <c r="AB115" s="79">
        <f t="shared" si="1489"/>
        <v>1184.2</v>
      </c>
      <c r="AC115" s="79">
        <f t="shared" si="1489"/>
        <v>83.197030427424295</v>
      </c>
      <c r="AD115" s="79">
        <f t="shared" si="1489"/>
        <v>0</v>
      </c>
      <c r="AE115" s="79">
        <f t="shared" si="1489"/>
        <v>0</v>
      </c>
      <c r="AF115" s="79">
        <f t="shared" si="1489"/>
        <v>50</v>
      </c>
      <c r="AG115" s="59">
        <f t="shared" si="1489"/>
        <v>44</v>
      </c>
      <c r="AH115" s="59">
        <f t="shared" si="1489"/>
        <v>502.39457034005898</v>
      </c>
      <c r="AI115" s="79">
        <f t="shared" si="1489"/>
        <v>2.0920034393809099</v>
      </c>
      <c r="AJ115" s="59">
        <f t="shared" si="1489"/>
        <v>2.0460017196904601</v>
      </c>
      <c r="AK115" s="59">
        <f t="shared" si="1489"/>
        <v>945.55377948007401</v>
      </c>
      <c r="AL115" s="79">
        <f t="shared" si="1489"/>
        <v>0</v>
      </c>
      <c r="AM115" s="79">
        <f t="shared" si="1489"/>
        <v>0</v>
      </c>
      <c r="AN115" s="79">
        <v>3</v>
      </c>
      <c r="AO115" s="79">
        <f t="shared" ref="AO115:AR115" si="1490">SUM(AO116:AO118)</f>
        <v>1800</v>
      </c>
      <c r="AP115" s="79">
        <f t="shared" si="1490"/>
        <v>0</v>
      </c>
      <c r="AQ115" s="79">
        <f t="shared" si="1490"/>
        <v>229.97999999999999</v>
      </c>
      <c r="AR115" s="79">
        <f t="shared" si="1490"/>
        <v>0</v>
      </c>
      <c r="AS115" s="79">
        <v>300</v>
      </c>
      <c r="AT115" s="79"/>
      <c r="AU115" s="79">
        <v>800</v>
      </c>
      <c r="AV115" s="81">
        <f t="shared" ref="AV115:BC115" si="1491">SUM(AV116:AV118)</f>
        <v>29.515979245822901</v>
      </c>
      <c r="AW115" s="81">
        <v>754.07821425637405</v>
      </c>
      <c r="AX115" s="79">
        <f t="shared" si="1491"/>
        <v>2304.6758890969099</v>
      </c>
      <c r="AY115" s="81">
        <f t="shared" si="1491"/>
        <v>0</v>
      </c>
      <c r="AZ115" s="81">
        <f t="shared" si="1491"/>
        <v>8939.8064155301599</v>
      </c>
      <c r="BA115" s="81">
        <f t="shared" si="1491"/>
        <v>25391</v>
      </c>
      <c r="BB115" s="79">
        <f t="shared" si="1491"/>
        <v>23056.590769257698</v>
      </c>
      <c r="BC115" s="79">
        <f t="shared" si="1491"/>
        <v>-14116.7843537275</v>
      </c>
      <c r="BD115" s="337">
        <f t="shared" si="1458"/>
        <v>-0.61226676983615602</v>
      </c>
      <c r="BG115" s="340"/>
    </row>
    <row r="116" ht="17" customHeight="1">
      <c r="A116" s="46">
        <v>75</v>
      </c>
      <c r="B116" s="82" t="s">
        <v>161</v>
      </c>
      <c r="C116" s="46" t="s">
        <v>78</v>
      </c>
      <c r="D116" s="46"/>
      <c r="E116" s="46"/>
      <c r="F116" s="46" t="s">
        <v>146</v>
      </c>
      <c r="G116" s="73">
        <v>13148</v>
      </c>
      <c r="H116" s="59">
        <f t="shared" si="1476"/>
        <v>7888.8000000000002</v>
      </c>
      <c r="I116" s="59">
        <f t="shared" si="1477"/>
        <v>7888.8000000000002</v>
      </c>
      <c r="J116" s="59">
        <f t="shared" si="1478"/>
        <v>0</v>
      </c>
      <c r="K116" s="59">
        <f t="shared" si="1479"/>
        <v>0</v>
      </c>
      <c r="L116" s="59">
        <f t="shared" si="1480"/>
        <v>0</v>
      </c>
      <c r="M116" s="59">
        <f t="shared" si="1481"/>
        <v>0</v>
      </c>
      <c r="N116" s="59">
        <v>2047</v>
      </c>
      <c r="O116" s="59">
        <v>173</v>
      </c>
      <c r="P116" s="59">
        <f t="shared" ref="P116:P118" si="1492">Q116*0.6+R116*0.8+S116*1+T116*1.25</f>
        <v>0</v>
      </c>
      <c r="Q116" s="59"/>
      <c r="R116" s="59"/>
      <c r="S116" s="59"/>
      <c r="T116" s="59"/>
      <c r="U116" s="59">
        <v>0</v>
      </c>
      <c r="V116" s="59">
        <f t="shared" ref="V116:V118" si="1493">H116/$H$9*(134866+26973)+N116/$N$9*202299+P116/$P$9*100000+U116/$U$9*34867</f>
        <v>685.07606874776695</v>
      </c>
      <c r="W116" s="59">
        <v>12772.040000000001</v>
      </c>
      <c r="X116" s="62">
        <f t="shared" ref="X116:X118" si="1494">($W$64-W116)/($W$64-$W$44)</f>
        <v>0.46578839506730702</v>
      </c>
      <c r="Y116" s="62">
        <f t="shared" ref="Y116:Y118" si="1495">(G116+N116)*X116/10000</f>
        <v>0.707765466304772</v>
      </c>
      <c r="Z116" s="62">
        <f>Y116*0.2</f>
        <v>0.141553093260954</v>
      </c>
      <c r="AA116" s="59">
        <f t="shared" ref="AA116:AA118" si="1496">Z116/$Z$9*(1348663*0.1+30000)</f>
        <v>51.579396841999099</v>
      </c>
      <c r="AB116" s="59"/>
      <c r="AC116" s="59"/>
      <c r="AD116" s="59"/>
      <c r="AE116" s="59"/>
      <c r="AF116" s="59">
        <v>12</v>
      </c>
      <c r="AG116" s="59">
        <f>AF116*0.5</f>
        <v>6</v>
      </c>
      <c r="AH116" s="59">
        <f t="shared" si="1483"/>
        <v>68.508350500917203</v>
      </c>
      <c r="AI116" s="59">
        <v>9.2003439380911406e-002</v>
      </c>
      <c r="AJ116" s="59">
        <f>AI116*0.5</f>
        <v>4.6001719690455703e-002</v>
      </c>
      <c r="AK116" s="59">
        <f t="shared" si="1485"/>
        <v>21.259561757589399</v>
      </c>
      <c r="AL116" s="338"/>
      <c r="AM116" s="59"/>
      <c r="AN116" s="59">
        <v>1</v>
      </c>
      <c r="AO116" s="59">
        <f t="shared" ref="AO116:AO118" si="1497">AN116*600</f>
        <v>600</v>
      </c>
      <c r="AP116" s="59"/>
      <c r="AQ116" s="62">
        <v>86.760000000000005</v>
      </c>
      <c r="AR116" s="62" t="s">
        <v>442</v>
      </c>
      <c r="AS116" s="59">
        <v>300</v>
      </c>
      <c r="AT116" s="59" t="s">
        <v>443</v>
      </c>
      <c r="AU116" s="59"/>
      <c r="AV116" s="62">
        <v>8.2590120954686093</v>
      </c>
      <c r="AW116" s="59">
        <f t="shared" si="1466"/>
        <v>211.00235369470701</v>
      </c>
      <c r="AX116" s="59">
        <v>29.603710532082001</v>
      </c>
      <c r="AY116" s="59"/>
      <c r="AZ116" s="59">
        <f t="shared" si="1486"/>
        <v>1937.42573154298</v>
      </c>
      <c r="BA116" s="59">
        <v>4943</v>
      </c>
      <c r="BB116" s="59">
        <f t="shared" ref="BB116:BB118" si="1498">BA116/$BA$9*1348663</f>
        <v>4488.5482325407002</v>
      </c>
      <c r="BC116" s="59">
        <f t="shared" ref="BC116:BC118" si="1499">AZ116-BB116</f>
        <v>-2551.1225009977202</v>
      </c>
      <c r="BD116" s="43">
        <f t="shared" si="1458"/>
        <v>-0.56836250137690503</v>
      </c>
      <c r="BG116" s="340"/>
    </row>
    <row r="117" ht="17" customHeight="1">
      <c r="A117" s="46">
        <v>76</v>
      </c>
      <c r="B117" s="82" t="s">
        <v>162</v>
      </c>
      <c r="C117" s="46" t="s">
        <v>90</v>
      </c>
      <c r="D117" s="46">
        <v>2017</v>
      </c>
      <c r="E117" s="46"/>
      <c r="F117" s="46" t="s">
        <v>146</v>
      </c>
      <c r="G117" s="73">
        <v>27682</v>
      </c>
      <c r="H117" s="59">
        <f t="shared" si="1476"/>
        <v>19377.400000000001</v>
      </c>
      <c r="I117" s="59">
        <f t="shared" si="1477"/>
        <v>0</v>
      </c>
      <c r="J117" s="59">
        <f t="shared" si="1478"/>
        <v>19377.400000000001</v>
      </c>
      <c r="K117" s="59">
        <f t="shared" si="1479"/>
        <v>0</v>
      </c>
      <c r="L117" s="59">
        <f t="shared" si="1480"/>
        <v>0</v>
      </c>
      <c r="M117" s="59">
        <f t="shared" si="1481"/>
        <v>0</v>
      </c>
      <c r="N117" s="59">
        <v>3510</v>
      </c>
      <c r="O117" s="59">
        <v>459</v>
      </c>
      <c r="P117" s="59">
        <f t="shared" si="1492"/>
        <v>0</v>
      </c>
      <c r="Q117" s="59"/>
      <c r="R117" s="59"/>
      <c r="S117" s="59"/>
      <c r="T117" s="59"/>
      <c r="U117" s="59">
        <v>50</v>
      </c>
      <c r="V117" s="59">
        <f t="shared" si="1493"/>
        <v>1352.1616592816199</v>
      </c>
      <c r="W117" s="59">
        <v>14604.860000000001</v>
      </c>
      <c r="X117" s="62">
        <f t="shared" si="1494"/>
        <v>0.170030111247019</v>
      </c>
      <c r="Y117" s="62">
        <f t="shared" si="1495"/>
        <v>0.53035792300170104</v>
      </c>
      <c r="Z117" s="62">
        <f t="shared" ref="Z117:Z118" si="1500">Y117*0.5</f>
        <v>0.26517896150085002</v>
      </c>
      <c r="AA117" s="59">
        <f t="shared" si="1496"/>
        <v>96.626435878631597</v>
      </c>
      <c r="AB117" s="59">
        <v>131.09999999999999</v>
      </c>
      <c r="AC117" s="59">
        <f t="shared" ref="AC117:AC131" si="1501">(AB117/$AB$9*1348663*0.037)</f>
        <v>9.2105477867212695</v>
      </c>
      <c r="AD117" s="59"/>
      <c r="AE117" s="59"/>
      <c r="AF117" s="59">
        <v>17</v>
      </c>
      <c r="AG117" s="59">
        <f t="shared" si="1482"/>
        <v>17</v>
      </c>
      <c r="AH117" s="59">
        <f t="shared" si="1483"/>
        <v>194.106993085932</v>
      </c>
      <c r="AI117" s="59">
        <v>1</v>
      </c>
      <c r="AJ117" s="59">
        <f t="shared" si="1484"/>
        <v>1</v>
      </c>
      <c r="AK117" s="59">
        <f t="shared" si="1485"/>
        <v>462.147108861243</v>
      </c>
      <c r="AL117" s="338"/>
      <c r="AM117" s="59"/>
      <c r="AN117" s="59">
        <v>1</v>
      </c>
      <c r="AO117" s="59">
        <f t="shared" si="1497"/>
        <v>600</v>
      </c>
      <c r="AP117" s="59"/>
      <c r="AQ117" s="62">
        <v>68.109999999999999</v>
      </c>
      <c r="AR117" s="62" t="s">
        <v>440</v>
      </c>
      <c r="AS117" s="59"/>
      <c r="AT117" s="59" t="s">
        <v>441</v>
      </c>
      <c r="AU117" s="59">
        <v>800</v>
      </c>
      <c r="AV117" s="62">
        <v>15.155541408961801</v>
      </c>
      <c r="AW117" s="59">
        <f t="shared" si="1466"/>
        <v>387.19581371760898</v>
      </c>
      <c r="AX117" s="59">
        <v>86.926433618490094</v>
      </c>
      <c r="AY117" s="59"/>
      <c r="AZ117" s="59">
        <f t="shared" si="1486"/>
        <v>3901.4485586117498</v>
      </c>
      <c r="BA117" s="59">
        <v>6857</v>
      </c>
      <c r="BB117" s="59">
        <f t="shared" si="1498"/>
        <v>6226.5780357134399</v>
      </c>
      <c r="BC117" s="59">
        <f t="shared" si="1499"/>
        <v>-2325.1294771016901</v>
      </c>
      <c r="BD117" s="43">
        <f t="shared" si="1458"/>
        <v>-0.37342011354640903</v>
      </c>
      <c r="BG117" s="340"/>
    </row>
    <row r="118" ht="17" customHeight="1">
      <c r="A118" s="46">
        <v>77</v>
      </c>
      <c r="B118" s="82" t="s">
        <v>163</v>
      </c>
      <c r="C118" s="46" t="s">
        <v>90</v>
      </c>
      <c r="D118" s="46">
        <v>2018</v>
      </c>
      <c r="E118" s="46"/>
      <c r="F118" s="46" t="s">
        <v>146</v>
      </c>
      <c r="G118" s="73">
        <v>25322</v>
      </c>
      <c r="H118" s="59">
        <f t="shared" si="1476"/>
        <v>20257.599999999999</v>
      </c>
      <c r="I118" s="59">
        <f t="shared" si="1477"/>
        <v>0</v>
      </c>
      <c r="J118" s="59">
        <f t="shared" si="1478"/>
        <v>0</v>
      </c>
      <c r="K118" s="59">
        <f t="shared" si="1479"/>
        <v>20257.599999999999</v>
      </c>
      <c r="L118" s="59">
        <f t="shared" si="1480"/>
        <v>0</v>
      </c>
      <c r="M118" s="59">
        <f t="shared" si="1481"/>
        <v>0</v>
      </c>
      <c r="N118" s="59">
        <v>2975</v>
      </c>
      <c r="O118" s="59">
        <v>121</v>
      </c>
      <c r="P118" s="59">
        <f t="shared" si="1492"/>
        <v>0</v>
      </c>
      <c r="Q118" s="59"/>
      <c r="R118" s="59"/>
      <c r="S118" s="59"/>
      <c r="T118" s="59"/>
      <c r="U118" s="59">
        <v>539</v>
      </c>
      <c r="V118" s="59">
        <f t="shared" si="1493"/>
        <v>1372.0178588598701</v>
      </c>
      <c r="W118" s="59">
        <v>13289.08</v>
      </c>
      <c r="X118" s="62">
        <f t="shared" si="1494"/>
        <v>0.38235474469987202</v>
      </c>
      <c r="Y118" s="62">
        <f t="shared" si="1495"/>
        <v>1.0819492210772299</v>
      </c>
      <c r="Z118" s="62">
        <f t="shared" si="1500"/>
        <v>0.54097461053861395</v>
      </c>
      <c r="AA118" s="59">
        <f t="shared" si="1496"/>
        <v>197.12140141633901</v>
      </c>
      <c r="AB118" s="59">
        <v>1053.0999999999999</v>
      </c>
      <c r="AC118" s="59">
        <f t="shared" si="1501"/>
        <v>73.986482640703002</v>
      </c>
      <c r="AD118" s="59"/>
      <c r="AE118" s="59"/>
      <c r="AF118" s="59">
        <v>21</v>
      </c>
      <c r="AG118" s="59">
        <f t="shared" si="1482"/>
        <v>21</v>
      </c>
      <c r="AH118" s="59">
        <f t="shared" si="1483"/>
        <v>239.77922675321</v>
      </c>
      <c r="AI118" s="59">
        <v>1</v>
      </c>
      <c r="AJ118" s="59">
        <f t="shared" si="1484"/>
        <v>1</v>
      </c>
      <c r="AK118" s="59">
        <f t="shared" si="1485"/>
        <v>462.147108861243</v>
      </c>
      <c r="AL118" s="338"/>
      <c r="AM118" s="59"/>
      <c r="AN118" s="59">
        <v>1</v>
      </c>
      <c r="AO118" s="59">
        <f t="shared" si="1497"/>
        <v>600</v>
      </c>
      <c r="AP118" s="59"/>
      <c r="AQ118" s="62">
        <v>75.109999999999999</v>
      </c>
      <c r="AR118" s="62" t="s">
        <v>440</v>
      </c>
      <c r="AS118" s="59"/>
      <c r="AT118" s="59" t="s">
        <v>443</v>
      </c>
      <c r="AU118" s="59"/>
      <c r="AV118" s="62">
        <v>6.10142574139247</v>
      </c>
      <c r="AW118" s="59">
        <f t="shared" si="1466"/>
        <v>155.880046844058</v>
      </c>
      <c r="AX118" s="59">
        <v>2188.1457449463401</v>
      </c>
      <c r="AY118" s="59"/>
      <c r="AZ118" s="59">
        <f t="shared" si="1486"/>
        <v>3100.9321253754301</v>
      </c>
      <c r="BA118" s="59">
        <v>13591</v>
      </c>
      <c r="BB118" s="59">
        <f t="shared" si="1498"/>
        <v>12341.4645010036</v>
      </c>
      <c r="BC118" s="59">
        <f t="shared" si="1499"/>
        <v>-9240.5323756281396</v>
      </c>
      <c r="BD118" s="43">
        <f t="shared" si="1458"/>
        <v>-0.74873872342109205</v>
      </c>
      <c r="BG118" s="340"/>
    </row>
    <row r="119" s="5" customFormat="1" ht="17" customHeight="1">
      <c r="A119" s="65"/>
      <c r="B119" s="66" t="s">
        <v>164</v>
      </c>
      <c r="C119" s="67">
        <v>1</v>
      </c>
      <c r="D119" s="67"/>
      <c r="E119" s="67"/>
      <c r="F119" s="68"/>
      <c r="G119" s="69">
        <f t="shared" ref="G119:P119" si="1502">G120+G121</f>
        <v>310681</v>
      </c>
      <c r="H119" s="69">
        <f t="shared" si="1502"/>
        <v>239406.79999999999</v>
      </c>
      <c r="I119" s="69">
        <f t="shared" si="1502"/>
        <v>46182.599999999999</v>
      </c>
      <c r="J119" s="69">
        <f t="shared" si="1502"/>
        <v>23061.5</v>
      </c>
      <c r="K119" s="69">
        <f t="shared" si="1502"/>
        <v>84206.399999999994</v>
      </c>
      <c r="L119" s="69">
        <f t="shared" si="1502"/>
        <v>85956.300000000003</v>
      </c>
      <c r="M119" s="69">
        <f t="shared" si="1502"/>
        <v>0</v>
      </c>
      <c r="N119" s="69">
        <f t="shared" si="1502"/>
        <v>43685</v>
      </c>
      <c r="O119" s="69">
        <f t="shared" si="1502"/>
        <v>47828</v>
      </c>
      <c r="P119" s="69">
        <f t="shared" si="1502"/>
        <v>5380.1999999999998</v>
      </c>
      <c r="Q119" s="59">
        <v>8967</v>
      </c>
      <c r="R119" s="69">
        <f t="shared" ref="R119:V119" si="1503">R120+R121</f>
        <v>0</v>
      </c>
      <c r="S119" s="69">
        <f t="shared" si="1503"/>
        <v>0</v>
      </c>
      <c r="T119" s="69">
        <f t="shared" si="1503"/>
        <v>0</v>
      </c>
      <c r="U119" s="69">
        <f t="shared" si="1503"/>
        <v>5701</v>
      </c>
      <c r="V119" s="69">
        <f t="shared" si="1503"/>
        <v>19165.702077904301</v>
      </c>
      <c r="W119" s="69"/>
      <c r="X119" s="69">
        <f t="shared" ref="X119:AM119" si="1504">X120+X121</f>
        <v>4.7602573495002396</v>
      </c>
      <c r="Y119" s="69">
        <f t="shared" si="1504"/>
        <v>18.048825724783899</v>
      </c>
      <c r="Z119" s="69">
        <f t="shared" si="1504"/>
        <v>11.1234004957706</v>
      </c>
      <c r="AA119" s="69">
        <f t="shared" si="1504"/>
        <v>4053.1667319070698</v>
      </c>
      <c r="AB119" s="69">
        <f t="shared" si="1504"/>
        <v>36847.911999999997</v>
      </c>
      <c r="AC119" s="69">
        <f t="shared" si="1504"/>
        <v>2588.7830230122099</v>
      </c>
      <c r="AD119" s="69">
        <f t="shared" si="1504"/>
        <v>1</v>
      </c>
      <c r="AE119" s="69">
        <f t="shared" si="1504"/>
        <v>0</v>
      </c>
      <c r="AF119" s="69">
        <f t="shared" si="1504"/>
        <v>565</v>
      </c>
      <c r="AG119" s="59">
        <f t="shared" si="1504"/>
        <v>442.5</v>
      </c>
      <c r="AH119" s="59">
        <f t="shared" si="1504"/>
        <v>5052.49084944264</v>
      </c>
      <c r="AI119" s="69">
        <f t="shared" si="1504"/>
        <v>10</v>
      </c>
      <c r="AJ119" s="59">
        <f t="shared" si="1504"/>
        <v>8.5</v>
      </c>
      <c r="AK119" s="59">
        <f t="shared" si="1504"/>
        <v>3928.2504253205602</v>
      </c>
      <c r="AL119" s="69">
        <f t="shared" si="1504"/>
        <v>0</v>
      </c>
      <c r="AM119" s="69">
        <f t="shared" si="1504"/>
        <v>0</v>
      </c>
      <c r="AN119" s="69">
        <v>11</v>
      </c>
      <c r="AO119" s="69">
        <f t="shared" ref="AO119:AR119" si="1505">AO120+AO121</f>
        <v>6600</v>
      </c>
      <c r="AP119" s="69">
        <f t="shared" si="1505"/>
        <v>5798.5935164295997</v>
      </c>
      <c r="AQ119" s="69">
        <f t="shared" si="1505"/>
        <v>801.88999999999999</v>
      </c>
      <c r="AR119" s="69">
        <f t="shared" si="1505"/>
        <v>0</v>
      </c>
      <c r="AS119" s="69">
        <v>3300</v>
      </c>
      <c r="AT119" s="69"/>
      <c r="AU119" s="69">
        <v>4300</v>
      </c>
      <c r="AV119" s="71">
        <f t="shared" ref="AV119:BC119" si="1506">AV120+AV121</f>
        <v>141.42737654847701</v>
      </c>
      <c r="AW119" s="71">
        <v>3613.2056695944498</v>
      </c>
      <c r="AX119" s="69">
        <f t="shared" si="1506"/>
        <v>10329.433457779</v>
      </c>
      <c r="AY119" s="71">
        <f t="shared" si="1506"/>
        <v>0</v>
      </c>
      <c r="AZ119" s="71">
        <f t="shared" si="1506"/>
        <v>58400.192293610802</v>
      </c>
      <c r="BA119" s="71">
        <f t="shared" si="1506"/>
        <v>51284</v>
      </c>
      <c r="BB119" s="69">
        <f t="shared" si="1506"/>
        <v>46569.028435690299</v>
      </c>
      <c r="BC119" s="69">
        <f t="shared" si="1506"/>
        <v>11831.163857920499</v>
      </c>
      <c r="BD119" s="336">
        <f t="shared" si="1458"/>
        <v>0.25405648894433802</v>
      </c>
      <c r="BG119" s="340"/>
    </row>
    <row r="120" s="5" customFormat="1" ht="17" customHeight="1">
      <c r="A120" s="44"/>
      <c r="B120" s="72" t="s">
        <v>165</v>
      </c>
      <c r="C120" s="46">
        <v>2</v>
      </c>
      <c r="D120" s="46"/>
      <c r="E120" s="46"/>
      <c r="F120" s="46"/>
      <c r="G120" s="73"/>
      <c r="H120" s="59">
        <f t="shared" ref="H120:H131" si="1507">SUM(I120:M120)</f>
        <v>0</v>
      </c>
      <c r="I120" s="59">
        <f t="shared" ref="I120:I131" si="1508">IF(D120="",G120*0.6,0)</f>
        <v>0</v>
      </c>
      <c r="J120" s="59">
        <f t="shared" ref="J120:J131" si="1509">IF(D120=2017,G120*0.7,0)</f>
        <v>0</v>
      </c>
      <c r="K120" s="59">
        <f t="shared" ref="K120:K131" si="1510">IF(D120=2018,G120*0.8,0)</f>
        <v>0</v>
      </c>
      <c r="L120" s="59">
        <f t="shared" ref="L120:L131" si="1511">IF(D120=2019,G120*0.9,0)</f>
        <v>0</v>
      </c>
      <c r="M120" s="59">
        <f t="shared" ref="M120:M131" si="1512">IF(D120=2020,G120*1,0)</f>
        <v>0</v>
      </c>
      <c r="N120" s="59"/>
      <c r="O120" s="59"/>
      <c r="P120" s="59">
        <f>L120*0.4+M120*0.6+N120*0.8+O120*1</f>
        <v>0</v>
      </c>
      <c r="Q120" s="59"/>
      <c r="R120" s="59"/>
      <c r="S120" s="59"/>
      <c r="T120" s="59"/>
      <c r="U120" s="59"/>
      <c r="V120" s="59">
        <f>H120/$H$9*134866+N120/$N$9*202299+P120/$P$9*100000+U120/$U$9*34867</f>
        <v>0</v>
      </c>
      <c r="W120" s="59"/>
      <c r="X120" s="62"/>
      <c r="Y120" s="62"/>
      <c r="Z120" s="62"/>
      <c r="AA120" s="59"/>
      <c r="AB120" s="59"/>
      <c r="AC120" s="59"/>
      <c r="AD120" s="59"/>
      <c r="AE120" s="59"/>
      <c r="AF120" s="59"/>
      <c r="AG120" s="59">
        <f t="shared" ref="AG120:AG128" si="1513">AF120</f>
        <v>0</v>
      </c>
      <c r="AH120" s="59">
        <f t="shared" ref="AH120:AH131" si="1514">AG120/$AG$9*40459.89</f>
        <v>0</v>
      </c>
      <c r="AI120" s="59"/>
      <c r="AJ120" s="59">
        <f t="shared" ref="AJ120:AJ128" si="1515">AI120</f>
        <v>0</v>
      </c>
      <c r="AK120" s="59">
        <f t="shared" ref="AK120:AK131" si="1516">AJ120/$AJ$9*40459.89</f>
        <v>0</v>
      </c>
      <c r="AL120" s="59"/>
      <c r="AM120" s="59"/>
      <c r="AN120" s="59"/>
      <c r="AO120" s="59"/>
      <c r="AP120" s="59"/>
      <c r="AQ120" s="62"/>
      <c r="AR120" s="62"/>
      <c r="AS120" s="59"/>
      <c r="AT120" s="59"/>
      <c r="AU120" s="59"/>
      <c r="AV120" s="62"/>
      <c r="AW120" s="59">
        <v>0</v>
      </c>
      <c r="AX120" s="59"/>
      <c r="AY120" s="59"/>
      <c r="AZ120" s="59">
        <f t="shared" ref="AZ120:AZ131" si="1517">V120+AA120+AC120+AE120+AH120+AK120+AM120+AO120+AP120+AS120+AU120+AW120+AY120</f>
        <v>0</v>
      </c>
      <c r="BA120" s="73"/>
      <c r="BB120" s="170"/>
      <c r="BC120" s="50"/>
      <c r="BD120" s="43"/>
      <c r="BG120" s="340"/>
    </row>
    <row r="121" s="5" customFormat="1" ht="17" customHeight="1">
      <c r="A121" s="75"/>
      <c r="B121" s="76" t="s">
        <v>76</v>
      </c>
      <c r="C121" s="77">
        <v>3</v>
      </c>
      <c r="D121" s="77"/>
      <c r="E121" s="77"/>
      <c r="F121" s="78"/>
      <c r="G121" s="79">
        <f t="shared" ref="G121:P121" si="1518">SUM(G122:G131)</f>
        <v>310681</v>
      </c>
      <c r="H121" s="79">
        <f t="shared" si="1518"/>
        <v>239406.79999999999</v>
      </c>
      <c r="I121" s="79">
        <f t="shared" si="1518"/>
        <v>46182.599999999999</v>
      </c>
      <c r="J121" s="79">
        <f t="shared" si="1518"/>
        <v>23061.5</v>
      </c>
      <c r="K121" s="79">
        <f t="shared" si="1518"/>
        <v>84206.399999999994</v>
      </c>
      <c r="L121" s="79">
        <f t="shared" si="1518"/>
        <v>85956.300000000003</v>
      </c>
      <c r="M121" s="79">
        <f t="shared" si="1518"/>
        <v>0</v>
      </c>
      <c r="N121" s="79">
        <f t="shared" si="1518"/>
        <v>43685</v>
      </c>
      <c r="O121" s="79">
        <f t="shared" si="1518"/>
        <v>47828</v>
      </c>
      <c r="P121" s="79">
        <f t="shared" si="1518"/>
        <v>5380.1999999999998</v>
      </c>
      <c r="Q121" s="59">
        <v>8967</v>
      </c>
      <c r="R121" s="79">
        <f t="shared" ref="R121:V121" si="1519">SUM(R122:R131)</f>
        <v>0</v>
      </c>
      <c r="S121" s="79">
        <f t="shared" si="1519"/>
        <v>0</v>
      </c>
      <c r="T121" s="79">
        <f t="shared" si="1519"/>
        <v>0</v>
      </c>
      <c r="U121" s="79">
        <f t="shared" si="1519"/>
        <v>5701</v>
      </c>
      <c r="V121" s="79">
        <f t="shared" si="1519"/>
        <v>19165.702077904301</v>
      </c>
      <c r="W121" s="79"/>
      <c r="X121" s="79">
        <f t="shared" ref="X121:AM121" si="1520">SUM(X122:X131)</f>
        <v>4.7602573495002396</v>
      </c>
      <c r="Y121" s="79">
        <f t="shared" si="1520"/>
        <v>18.048825724783899</v>
      </c>
      <c r="Z121" s="79">
        <f t="shared" si="1520"/>
        <v>11.1234004957706</v>
      </c>
      <c r="AA121" s="79">
        <f t="shared" si="1520"/>
        <v>4053.1667319070698</v>
      </c>
      <c r="AB121" s="79">
        <f t="shared" si="1520"/>
        <v>36847.911999999997</v>
      </c>
      <c r="AC121" s="79">
        <f t="shared" si="1520"/>
        <v>2588.7830230122099</v>
      </c>
      <c r="AD121" s="79">
        <f t="shared" si="1520"/>
        <v>1</v>
      </c>
      <c r="AE121" s="79">
        <f t="shared" si="1520"/>
        <v>0</v>
      </c>
      <c r="AF121" s="79">
        <f t="shared" si="1520"/>
        <v>565</v>
      </c>
      <c r="AG121" s="59">
        <f t="shared" si="1520"/>
        <v>442.5</v>
      </c>
      <c r="AH121" s="59">
        <f t="shared" si="1520"/>
        <v>5052.49084944264</v>
      </c>
      <c r="AI121" s="79">
        <f t="shared" si="1520"/>
        <v>10</v>
      </c>
      <c r="AJ121" s="59">
        <f t="shared" si="1520"/>
        <v>8.5</v>
      </c>
      <c r="AK121" s="59">
        <f t="shared" si="1520"/>
        <v>3928.2504253205602</v>
      </c>
      <c r="AL121" s="79">
        <f t="shared" si="1520"/>
        <v>0</v>
      </c>
      <c r="AM121" s="79">
        <f t="shared" si="1520"/>
        <v>0</v>
      </c>
      <c r="AN121" s="79">
        <v>11</v>
      </c>
      <c r="AO121" s="79">
        <f t="shared" ref="AO121:AR121" si="1521">SUM(AO122:AO131)</f>
        <v>6600</v>
      </c>
      <c r="AP121" s="79">
        <f t="shared" si="1521"/>
        <v>5798.5935164295997</v>
      </c>
      <c r="AQ121" s="79">
        <f t="shared" si="1521"/>
        <v>801.88999999999999</v>
      </c>
      <c r="AR121" s="79">
        <f t="shared" si="1521"/>
        <v>0</v>
      </c>
      <c r="AS121" s="79">
        <v>3300</v>
      </c>
      <c r="AT121" s="79"/>
      <c r="AU121" s="79">
        <v>4300</v>
      </c>
      <c r="AV121" s="81">
        <f t="shared" ref="AV121:BC121" si="1522">SUM(AV122:AV131)</f>
        <v>141.42737654847701</v>
      </c>
      <c r="AW121" s="81">
        <v>3613.2056695944498</v>
      </c>
      <c r="AX121" s="79">
        <f t="shared" si="1522"/>
        <v>10329.433457779</v>
      </c>
      <c r="AY121" s="81">
        <f t="shared" si="1522"/>
        <v>0</v>
      </c>
      <c r="AZ121" s="81">
        <f t="shared" si="1522"/>
        <v>58400.192293610802</v>
      </c>
      <c r="BA121" s="81">
        <f t="shared" si="1522"/>
        <v>51284</v>
      </c>
      <c r="BB121" s="79">
        <f t="shared" si="1522"/>
        <v>46569.028435690299</v>
      </c>
      <c r="BC121" s="79">
        <f t="shared" si="1522"/>
        <v>11831.163857920499</v>
      </c>
      <c r="BD121" s="337">
        <f t="shared" si="1458"/>
        <v>0.25405648894433802</v>
      </c>
      <c r="BG121" s="340"/>
    </row>
    <row r="122" s="5" customFormat="1" ht="17" customHeight="1">
      <c r="A122" s="46">
        <v>78</v>
      </c>
      <c r="B122" s="82" t="s">
        <v>166</v>
      </c>
      <c r="C122" s="46" t="s">
        <v>78</v>
      </c>
      <c r="D122" s="46"/>
      <c r="E122" s="46"/>
      <c r="F122" s="46"/>
      <c r="G122" s="73">
        <v>33951</v>
      </c>
      <c r="H122" s="59">
        <f t="shared" si="1507"/>
        <v>20370.599999999999</v>
      </c>
      <c r="I122" s="59">
        <f t="shared" si="1508"/>
        <v>20370.599999999999</v>
      </c>
      <c r="J122" s="59">
        <f t="shared" si="1509"/>
        <v>0</v>
      </c>
      <c r="K122" s="59">
        <f t="shared" si="1510"/>
        <v>0</v>
      </c>
      <c r="L122" s="59">
        <f t="shared" si="1511"/>
        <v>0</v>
      </c>
      <c r="M122" s="59">
        <f t="shared" si="1512"/>
        <v>0</v>
      </c>
      <c r="N122" s="59">
        <v>4811</v>
      </c>
      <c r="O122" s="59">
        <v>1850</v>
      </c>
      <c r="P122" s="59">
        <f t="shared" ref="P122:P131" si="1523">Q122*0.6+R122*0.8+S122*1+T122*1.25</f>
        <v>0</v>
      </c>
      <c r="Q122" s="59"/>
      <c r="R122" s="59"/>
      <c r="S122" s="59"/>
      <c r="T122" s="59"/>
      <c r="U122" s="59">
        <v>913</v>
      </c>
      <c r="V122" s="59">
        <f t="shared" ref="V122:V131" si="1524">H122/$H$9*(134866+26973)+N122/$N$9*202299+P122/$P$9*100000+U122/$U$9*34867</f>
        <v>1877.7754554768001</v>
      </c>
      <c r="W122" s="59">
        <v>13094.16</v>
      </c>
      <c r="X122" s="62">
        <f t="shared" ref="X122:X131" si="1525">($W$64-W122)/($W$64-$W$44)</f>
        <v>0.41380857250743103</v>
      </c>
      <c r="Y122" s="62">
        <f t="shared" ref="Y122:Y131" si="1526">(G122+N122)*X122/10000</f>
        <v>1.6040047887533</v>
      </c>
      <c r="Z122" s="62">
        <f>Y122*0.2</f>
        <v>0.32080095775066098</v>
      </c>
      <c r="AA122" s="59">
        <f t="shared" ref="AA122:AA131" si="1527">Z122/$Z$9*(1348663*0.1+30000)</f>
        <v>116.894089178332</v>
      </c>
      <c r="AB122" s="59">
        <v>3023.8299999999999</v>
      </c>
      <c r="AC122" s="59">
        <f t="shared" si="1501"/>
        <v>212.44188187583001</v>
      </c>
      <c r="AD122" s="59"/>
      <c r="AE122" s="59"/>
      <c r="AF122" s="59">
        <v>45</v>
      </c>
      <c r="AG122" s="59">
        <f>AF122*0.5</f>
        <v>22.5</v>
      </c>
      <c r="AH122" s="59">
        <f t="shared" si="1514"/>
        <v>256.90631437843899</v>
      </c>
      <c r="AI122" s="59">
        <v>1</v>
      </c>
      <c r="AJ122" s="59">
        <f>AI122*0.5</f>
        <v>0.5</v>
      </c>
      <c r="AK122" s="59">
        <f t="shared" si="1516"/>
        <v>231.07355443062099</v>
      </c>
      <c r="AL122" s="338"/>
      <c r="AM122" s="59"/>
      <c r="AN122" s="59">
        <v>1</v>
      </c>
      <c r="AO122" s="59">
        <f t="shared" ref="AO122:AO131" si="1528">AN122*600</f>
        <v>600</v>
      </c>
      <c r="AP122" s="59"/>
      <c r="AQ122" s="62">
        <v>73.040000000000006</v>
      </c>
      <c r="AR122" s="62" t="s">
        <v>440</v>
      </c>
      <c r="AS122" s="59"/>
      <c r="AT122" s="59" t="s">
        <v>443</v>
      </c>
      <c r="AU122" s="59"/>
      <c r="AV122" s="62">
        <v>14.0312504343245</v>
      </c>
      <c r="AW122" s="59">
        <f t="shared" si="1466"/>
        <v>358.47227642961502</v>
      </c>
      <c r="AX122" s="59">
        <v>37.921618585195802</v>
      </c>
      <c r="AY122" s="59"/>
      <c r="AZ122" s="59">
        <f t="shared" si="1517"/>
        <v>3653.56357176964</v>
      </c>
      <c r="BA122" s="59">
        <v>2671</v>
      </c>
      <c r="BB122" s="59">
        <f t="shared" ref="BB122:BB131" si="1529">BA122/$BA$9*1348663</f>
        <v>2425.4323951277001</v>
      </c>
      <c r="BC122" s="59">
        <f t="shared" ref="BC122:BC131" si="1530">AZ122-BB122</f>
        <v>1228.1311766419401</v>
      </c>
      <c r="BD122" s="43">
        <f t="shared" si="1458"/>
        <v>0.50635555916093899</v>
      </c>
      <c r="BG122" s="340"/>
    </row>
    <row r="123" s="5" customFormat="1" ht="17" customHeight="1">
      <c r="A123" s="46">
        <v>79</v>
      </c>
      <c r="B123" s="82" t="s">
        <v>167</v>
      </c>
      <c r="C123" s="46" t="s">
        <v>90</v>
      </c>
      <c r="D123" s="46">
        <v>2018</v>
      </c>
      <c r="E123" s="46"/>
      <c r="F123" s="46"/>
      <c r="G123" s="73">
        <v>22402</v>
      </c>
      <c r="H123" s="59">
        <f t="shared" si="1507"/>
        <v>17921.599999999999</v>
      </c>
      <c r="I123" s="59">
        <f t="shared" si="1508"/>
        <v>0</v>
      </c>
      <c r="J123" s="59">
        <f t="shared" si="1509"/>
        <v>0</v>
      </c>
      <c r="K123" s="59">
        <f t="shared" si="1510"/>
        <v>17921.599999999999</v>
      </c>
      <c r="L123" s="59">
        <f t="shared" si="1511"/>
        <v>0</v>
      </c>
      <c r="M123" s="59">
        <f t="shared" si="1512"/>
        <v>0</v>
      </c>
      <c r="N123" s="59">
        <v>4048</v>
      </c>
      <c r="O123" s="59">
        <v>5801</v>
      </c>
      <c r="P123" s="59">
        <f t="shared" si="1523"/>
        <v>900.60000000000002</v>
      </c>
      <c r="Q123" s="59">
        <v>1501</v>
      </c>
      <c r="R123" s="59"/>
      <c r="S123" s="59"/>
      <c r="T123" s="59"/>
      <c r="U123" s="59">
        <v>467</v>
      </c>
      <c r="V123" s="59">
        <f t="shared" si="1524"/>
        <v>1729.4169049802599</v>
      </c>
      <c r="W123" s="59">
        <v>11951.799999999999</v>
      </c>
      <c r="X123" s="62">
        <f t="shared" si="1525"/>
        <v>0.59814878764309298</v>
      </c>
      <c r="Y123" s="62">
        <f t="shared" si="1526"/>
        <v>1.58210354331598</v>
      </c>
      <c r="Z123" s="62">
        <f t="shared" ref="Z123:Z128" si="1531">Y123*0.5</f>
        <v>0.79105177165799101</v>
      </c>
      <c r="AA123" s="59">
        <f t="shared" si="1527"/>
        <v>288.24501332298797</v>
      </c>
      <c r="AB123" s="59">
        <v>2246</v>
      </c>
      <c r="AC123" s="59">
        <f t="shared" si="1501"/>
        <v>157.794739351457</v>
      </c>
      <c r="AD123" s="59"/>
      <c r="AE123" s="59"/>
      <c r="AF123" s="59">
        <v>69</v>
      </c>
      <c r="AG123" s="59">
        <f t="shared" si="1513"/>
        <v>69</v>
      </c>
      <c r="AH123" s="59">
        <f t="shared" si="1514"/>
        <v>787.84603076054702</v>
      </c>
      <c r="AI123" s="59">
        <v>1</v>
      </c>
      <c r="AJ123" s="59">
        <f t="shared" si="1515"/>
        <v>1</v>
      </c>
      <c r="AK123" s="59">
        <f t="shared" si="1516"/>
        <v>462.147108861243</v>
      </c>
      <c r="AL123" s="338"/>
      <c r="AM123" s="59"/>
      <c r="AN123" s="59">
        <v>1</v>
      </c>
      <c r="AO123" s="59">
        <f t="shared" si="1528"/>
        <v>600</v>
      </c>
      <c r="AP123" s="59"/>
      <c r="AQ123" s="62">
        <v>80.049999999999997</v>
      </c>
      <c r="AR123" s="62" t="s">
        <v>442</v>
      </c>
      <c r="AS123" s="59">
        <v>600</v>
      </c>
      <c r="AT123" s="59" t="s">
        <v>441</v>
      </c>
      <c r="AU123" s="59">
        <v>800</v>
      </c>
      <c r="AV123" s="62">
        <v>9.7303304993473905</v>
      </c>
      <c r="AW123" s="59">
        <f t="shared" si="1466"/>
        <v>248.59179449757201</v>
      </c>
      <c r="AX123" s="59">
        <v>0.57005660745353104</v>
      </c>
      <c r="AY123" s="59"/>
      <c r="AZ123" s="59">
        <f t="shared" si="1517"/>
        <v>5674.0415917740602</v>
      </c>
      <c r="BA123" s="59">
        <v>4369</v>
      </c>
      <c r="BB123" s="59">
        <f t="shared" si="1529"/>
        <v>3967.3209038985001</v>
      </c>
      <c r="BC123" s="59">
        <f t="shared" si="1530"/>
        <v>1706.7206878755601</v>
      </c>
      <c r="BD123" s="43">
        <f t="shared" si="1458"/>
        <v>0.43019476599395901</v>
      </c>
      <c r="BG123" s="340"/>
    </row>
    <row r="124" s="5" customFormat="1" ht="17" customHeight="1">
      <c r="A124" s="46">
        <v>80</v>
      </c>
      <c r="B124" s="82" t="s">
        <v>168</v>
      </c>
      <c r="C124" s="46" t="s">
        <v>90</v>
      </c>
      <c r="D124" s="46">
        <v>2017</v>
      </c>
      <c r="E124" s="46"/>
      <c r="F124" s="46"/>
      <c r="G124" s="73">
        <v>10255</v>
      </c>
      <c r="H124" s="59">
        <f t="shared" si="1507"/>
        <v>7178.5</v>
      </c>
      <c r="I124" s="59">
        <f t="shared" si="1508"/>
        <v>0</v>
      </c>
      <c r="J124" s="59">
        <f t="shared" si="1509"/>
        <v>7178.5</v>
      </c>
      <c r="K124" s="59">
        <f t="shared" si="1510"/>
        <v>0</v>
      </c>
      <c r="L124" s="59">
        <f t="shared" si="1511"/>
        <v>0</v>
      </c>
      <c r="M124" s="59">
        <f t="shared" si="1512"/>
        <v>0</v>
      </c>
      <c r="N124" s="59">
        <v>2817</v>
      </c>
      <c r="O124" s="59">
        <v>2106</v>
      </c>
      <c r="P124" s="59">
        <f t="shared" si="1523"/>
        <v>544.79999999999995</v>
      </c>
      <c r="Q124" s="59">
        <v>908</v>
      </c>
      <c r="R124" s="59"/>
      <c r="S124" s="59"/>
      <c r="T124" s="59"/>
      <c r="U124" s="59">
        <v>140</v>
      </c>
      <c r="V124" s="59">
        <f t="shared" si="1524"/>
        <v>991.84577089284505</v>
      </c>
      <c r="W124" s="59">
        <v>14118.75</v>
      </c>
      <c r="X124" s="62">
        <f t="shared" si="1525"/>
        <v>0.24847265298482199</v>
      </c>
      <c r="Y124" s="62">
        <f t="shared" si="1526"/>
        <v>0.32480345198175897</v>
      </c>
      <c r="Z124" s="62">
        <f t="shared" si="1531"/>
        <v>0.16240172599088001</v>
      </c>
      <c r="AA124" s="59">
        <f t="shared" si="1527"/>
        <v>59.176262981882502</v>
      </c>
      <c r="AB124" s="59">
        <v>1395.72</v>
      </c>
      <c r="AC124" s="59">
        <f t="shared" si="1501"/>
        <v>98.0575572607369</v>
      </c>
      <c r="AD124" s="59"/>
      <c r="AE124" s="59"/>
      <c r="AF124" s="59">
        <v>58</v>
      </c>
      <c r="AG124" s="59">
        <f t="shared" si="1513"/>
        <v>58</v>
      </c>
      <c r="AH124" s="59">
        <f t="shared" si="1514"/>
        <v>662.24738817553305</v>
      </c>
      <c r="AI124" s="59">
        <v>1</v>
      </c>
      <c r="AJ124" s="59">
        <f t="shared" si="1515"/>
        <v>1</v>
      </c>
      <c r="AK124" s="59">
        <f t="shared" si="1516"/>
        <v>462.147108861243</v>
      </c>
      <c r="AL124" s="338"/>
      <c r="AM124" s="59"/>
      <c r="AN124" s="59">
        <v>1</v>
      </c>
      <c r="AO124" s="59">
        <f t="shared" si="1528"/>
        <v>600</v>
      </c>
      <c r="AP124" s="59"/>
      <c r="AQ124" s="62">
        <v>80.019999999999996</v>
      </c>
      <c r="AR124" s="62" t="s">
        <v>442</v>
      </c>
      <c r="AS124" s="59">
        <v>600</v>
      </c>
      <c r="AT124" s="59" t="s">
        <v>441</v>
      </c>
      <c r="AU124" s="59">
        <v>800</v>
      </c>
      <c r="AV124" s="62">
        <v>14.9668075618715</v>
      </c>
      <c r="AW124" s="59">
        <f t="shared" si="1466"/>
        <v>382.374015965338</v>
      </c>
      <c r="AX124" s="59">
        <v>7.7087339378383799</v>
      </c>
      <c r="AY124" s="59"/>
      <c r="AZ124" s="59">
        <f t="shared" si="1517"/>
        <v>4655.8481041375799</v>
      </c>
      <c r="BA124" s="59">
        <v>3112</v>
      </c>
      <c r="BB124" s="59">
        <f t="shared" si="1529"/>
        <v>2825.88753786499</v>
      </c>
      <c r="BC124" s="59">
        <f t="shared" si="1530"/>
        <v>1829.9605662725901</v>
      </c>
      <c r="BD124" s="43">
        <f t="shared" si="1458"/>
        <v>0.64757020290168898</v>
      </c>
      <c r="BG124" s="340"/>
    </row>
    <row r="125" s="5" customFormat="1" ht="17" customHeight="1">
      <c r="A125" s="46">
        <v>81</v>
      </c>
      <c r="B125" s="82" t="s">
        <v>169</v>
      </c>
      <c r="C125" s="46" t="s">
        <v>90</v>
      </c>
      <c r="D125" s="46">
        <v>2018</v>
      </c>
      <c r="E125" s="46"/>
      <c r="F125" s="46"/>
      <c r="G125" s="73">
        <v>25551</v>
      </c>
      <c r="H125" s="59">
        <f t="shared" si="1507"/>
        <v>20440.799999999999</v>
      </c>
      <c r="I125" s="59">
        <f t="shared" si="1508"/>
        <v>0</v>
      </c>
      <c r="J125" s="59">
        <f t="shared" si="1509"/>
        <v>0</v>
      </c>
      <c r="K125" s="59">
        <f t="shared" si="1510"/>
        <v>20440.799999999999</v>
      </c>
      <c r="L125" s="59">
        <f t="shared" si="1511"/>
        <v>0</v>
      </c>
      <c r="M125" s="59">
        <f t="shared" si="1512"/>
        <v>0</v>
      </c>
      <c r="N125" s="59">
        <v>4414</v>
      </c>
      <c r="O125" s="59">
        <v>5198</v>
      </c>
      <c r="P125" s="59">
        <f t="shared" si="1523"/>
        <v>0</v>
      </c>
      <c r="Q125" s="59"/>
      <c r="R125" s="59"/>
      <c r="S125" s="59"/>
      <c r="T125" s="59"/>
      <c r="U125" s="59">
        <v>840</v>
      </c>
      <c r="V125" s="59">
        <f t="shared" si="1524"/>
        <v>1772.9550565767299</v>
      </c>
      <c r="W125" s="59">
        <v>12691.84</v>
      </c>
      <c r="X125" s="62">
        <f t="shared" si="1525"/>
        <v>0.47873009930579502</v>
      </c>
      <c r="Y125" s="62">
        <f t="shared" si="1526"/>
        <v>1.4345147425698199</v>
      </c>
      <c r="Z125" s="62">
        <f t="shared" si="1531"/>
        <v>0.71725737128490796</v>
      </c>
      <c r="AA125" s="59">
        <f t="shared" si="1527"/>
        <v>261.35566337043201</v>
      </c>
      <c r="AB125" s="59">
        <v>2153.3499999999999</v>
      </c>
      <c r="AC125" s="59">
        <f t="shared" si="1501"/>
        <v>151.28553071347201</v>
      </c>
      <c r="AD125" s="59"/>
      <c r="AE125" s="59"/>
      <c r="AF125" s="59">
        <v>45</v>
      </c>
      <c r="AG125" s="59">
        <f t="shared" si="1513"/>
        <v>45</v>
      </c>
      <c r="AH125" s="59">
        <f t="shared" si="1514"/>
        <v>513.81262875687901</v>
      </c>
      <c r="AI125" s="59">
        <v>1</v>
      </c>
      <c r="AJ125" s="59">
        <f t="shared" si="1515"/>
        <v>1</v>
      </c>
      <c r="AK125" s="59">
        <f t="shared" si="1516"/>
        <v>462.147108861243</v>
      </c>
      <c r="AL125" s="338"/>
      <c r="AM125" s="59"/>
      <c r="AN125" s="59">
        <v>1</v>
      </c>
      <c r="AO125" s="59">
        <f t="shared" si="1528"/>
        <v>600</v>
      </c>
      <c r="AP125" s="59"/>
      <c r="AQ125" s="62">
        <v>84.870000000000005</v>
      </c>
      <c r="AR125" s="62" t="s">
        <v>442</v>
      </c>
      <c r="AS125" s="59">
        <v>600</v>
      </c>
      <c r="AT125" s="59" t="s">
        <v>443</v>
      </c>
      <c r="AU125" s="59"/>
      <c r="AV125" s="62">
        <v>15.486759102795601</v>
      </c>
      <c r="AW125" s="59">
        <f t="shared" si="1466"/>
        <v>395.657807982348</v>
      </c>
      <c r="AX125" s="59">
        <v>1926.8215399378901</v>
      </c>
      <c r="AY125" s="59"/>
      <c r="AZ125" s="59">
        <f t="shared" si="1517"/>
        <v>4757.2137962611096</v>
      </c>
      <c r="BA125" s="59">
        <v>3803</v>
      </c>
      <c r="BB125" s="59">
        <f t="shared" si="1529"/>
        <v>3453.35806764157</v>
      </c>
      <c r="BC125" s="59">
        <f t="shared" si="1530"/>
        <v>1303.8557286195401</v>
      </c>
      <c r="BD125" s="43">
        <f t="shared" si="1458"/>
        <v>0.37756169591472299</v>
      </c>
      <c r="BG125" s="340"/>
    </row>
    <row r="126" s="5" customFormat="1" ht="17" customHeight="1">
      <c r="A126" s="46">
        <v>82</v>
      </c>
      <c r="B126" s="82" t="s">
        <v>170</v>
      </c>
      <c r="C126" s="46" t="s">
        <v>90</v>
      </c>
      <c r="D126" s="46">
        <v>2017</v>
      </c>
      <c r="E126" s="46"/>
      <c r="F126" s="46"/>
      <c r="G126" s="73">
        <v>22690</v>
      </c>
      <c r="H126" s="59">
        <f t="shared" si="1507"/>
        <v>15883</v>
      </c>
      <c r="I126" s="59">
        <f t="shared" si="1508"/>
        <v>0</v>
      </c>
      <c r="J126" s="59">
        <f t="shared" si="1509"/>
        <v>15883</v>
      </c>
      <c r="K126" s="59">
        <f t="shared" si="1510"/>
        <v>0</v>
      </c>
      <c r="L126" s="59">
        <f t="shared" si="1511"/>
        <v>0</v>
      </c>
      <c r="M126" s="59">
        <f t="shared" si="1512"/>
        <v>0</v>
      </c>
      <c r="N126" s="59">
        <v>2371</v>
      </c>
      <c r="O126" s="59">
        <v>2771</v>
      </c>
      <c r="P126" s="59">
        <f t="shared" si="1523"/>
        <v>0</v>
      </c>
      <c r="Q126" s="59"/>
      <c r="R126" s="59"/>
      <c r="S126" s="59"/>
      <c r="T126" s="59"/>
      <c r="U126" s="59">
        <v>676</v>
      </c>
      <c r="V126" s="59">
        <f t="shared" si="1524"/>
        <v>1144.3143999342501</v>
      </c>
      <c r="W126" s="59">
        <v>12165.290000000001</v>
      </c>
      <c r="X126" s="62">
        <f t="shared" si="1525"/>
        <v>0.56369835824315595</v>
      </c>
      <c r="Y126" s="62">
        <f t="shared" si="1526"/>
        <v>1.4126844555931699</v>
      </c>
      <c r="Z126" s="62">
        <f t="shared" si="1531"/>
        <v>0.70634222779658595</v>
      </c>
      <c r="AA126" s="59">
        <f t="shared" si="1527"/>
        <v>257.37838173990201</v>
      </c>
      <c r="AB126" s="59">
        <v>485.5</v>
      </c>
      <c r="AC126" s="59">
        <f t="shared" si="1501"/>
        <v>34.109236845562002</v>
      </c>
      <c r="AD126" s="59"/>
      <c r="AE126" s="59"/>
      <c r="AF126" s="59">
        <v>39</v>
      </c>
      <c r="AG126" s="59">
        <f t="shared" si="1513"/>
        <v>39</v>
      </c>
      <c r="AH126" s="59">
        <f t="shared" si="1514"/>
        <v>445.304278255962</v>
      </c>
      <c r="AI126" s="59">
        <v>1</v>
      </c>
      <c r="AJ126" s="59">
        <f t="shared" si="1515"/>
        <v>1</v>
      </c>
      <c r="AK126" s="59">
        <f t="shared" si="1516"/>
        <v>462.147108861243</v>
      </c>
      <c r="AL126" s="338"/>
      <c r="AM126" s="59"/>
      <c r="AN126" s="59">
        <v>1</v>
      </c>
      <c r="AO126" s="59">
        <f t="shared" si="1528"/>
        <v>600</v>
      </c>
      <c r="AP126" s="59"/>
      <c r="AQ126" s="62">
        <v>83.569999999999993</v>
      </c>
      <c r="AR126" s="62" t="s">
        <v>442</v>
      </c>
      <c r="AS126" s="59">
        <v>600</v>
      </c>
      <c r="AT126" s="59" t="s">
        <v>441</v>
      </c>
      <c r="AU126" s="59">
        <v>800</v>
      </c>
      <c r="AV126" s="62">
        <v>14.868699237721399</v>
      </c>
      <c r="AW126" s="59">
        <f t="shared" si="1466"/>
        <v>379.86753128249399</v>
      </c>
      <c r="AX126" s="59">
        <v>2395.6326428749699</v>
      </c>
      <c r="AY126" s="59"/>
      <c r="AZ126" s="59">
        <f t="shared" si="1517"/>
        <v>4723.1209369194103</v>
      </c>
      <c r="BA126" s="59">
        <v>2695</v>
      </c>
      <c r="BB126" s="59">
        <f t="shared" si="1529"/>
        <v>2447.2258722834699</v>
      </c>
      <c r="BC126" s="59">
        <f t="shared" si="1530"/>
        <v>2275.8950646359399</v>
      </c>
      <c r="BD126" s="43">
        <f t="shared" si="1458"/>
        <v>0.929989785745581</v>
      </c>
      <c r="BG126" s="340"/>
    </row>
    <row r="127" s="5" customFormat="1" ht="17" customHeight="1">
      <c r="A127" s="46">
        <v>83</v>
      </c>
      <c r="B127" s="82" t="s">
        <v>171</v>
      </c>
      <c r="C127" s="46" t="s">
        <v>90</v>
      </c>
      <c r="D127" s="46">
        <v>2018</v>
      </c>
      <c r="E127" s="46"/>
      <c r="F127" s="46"/>
      <c r="G127" s="73">
        <v>36343</v>
      </c>
      <c r="H127" s="59">
        <f t="shared" si="1507"/>
        <v>29074.400000000001</v>
      </c>
      <c r="I127" s="59">
        <f t="shared" si="1508"/>
        <v>0</v>
      </c>
      <c r="J127" s="59">
        <f t="shared" si="1509"/>
        <v>0</v>
      </c>
      <c r="K127" s="59">
        <f t="shared" si="1510"/>
        <v>29074.400000000001</v>
      </c>
      <c r="L127" s="59">
        <f t="shared" si="1511"/>
        <v>0</v>
      </c>
      <c r="M127" s="59">
        <f t="shared" si="1512"/>
        <v>0</v>
      </c>
      <c r="N127" s="59">
        <v>4585</v>
      </c>
      <c r="O127" s="59">
        <v>9495</v>
      </c>
      <c r="P127" s="59">
        <f t="shared" si="1523"/>
        <v>706.79999999999995</v>
      </c>
      <c r="Q127" s="59">
        <v>1178</v>
      </c>
      <c r="R127" s="59"/>
      <c r="S127" s="59"/>
      <c r="T127" s="59"/>
      <c r="U127" s="59">
        <v>838</v>
      </c>
      <c r="V127" s="59">
        <f t="shared" si="1524"/>
        <v>2211.29496495172</v>
      </c>
      <c r="W127" s="59">
        <v>12056.379999999999</v>
      </c>
      <c r="X127" s="62">
        <f t="shared" si="1525"/>
        <v>0.58127293441040995</v>
      </c>
      <c r="Y127" s="62">
        <f t="shared" si="1526"/>
        <v>2.3790338659549302</v>
      </c>
      <c r="Z127" s="62">
        <f t="shared" si="1531"/>
        <v>1.18951693297746</v>
      </c>
      <c r="AA127" s="59">
        <f t="shared" si="1527"/>
        <v>433.43853901669598</v>
      </c>
      <c r="AB127" s="59">
        <v>6605.8000000000002</v>
      </c>
      <c r="AC127" s="59">
        <f t="shared" si="1501"/>
        <v>464.09638878355003</v>
      </c>
      <c r="AD127" s="59"/>
      <c r="AE127" s="59"/>
      <c r="AF127" s="59">
        <v>55</v>
      </c>
      <c r="AG127" s="59">
        <f t="shared" si="1513"/>
        <v>55</v>
      </c>
      <c r="AH127" s="59">
        <f t="shared" si="1514"/>
        <v>627.99321292507398</v>
      </c>
      <c r="AI127" s="59">
        <v>1</v>
      </c>
      <c r="AJ127" s="59">
        <f t="shared" si="1515"/>
        <v>1</v>
      </c>
      <c r="AK127" s="59">
        <f t="shared" si="1516"/>
        <v>462.147108861243</v>
      </c>
      <c r="AL127" s="338"/>
      <c r="AM127" s="59"/>
      <c r="AN127" s="59">
        <v>1</v>
      </c>
      <c r="AO127" s="59">
        <f t="shared" si="1528"/>
        <v>600</v>
      </c>
      <c r="AP127" s="59"/>
      <c r="AQ127" s="62">
        <v>74.459999999999994</v>
      </c>
      <c r="AR127" s="62" t="s">
        <v>440</v>
      </c>
      <c r="AS127" s="59"/>
      <c r="AT127" s="59" t="s">
        <v>443</v>
      </c>
      <c r="AU127" s="59"/>
      <c r="AV127" s="62">
        <v>13.631257883223901</v>
      </c>
      <c r="AW127" s="59">
        <f t="shared" si="1466"/>
        <v>348.25321284586198</v>
      </c>
      <c r="AX127" s="59">
        <v>2123.75218367856</v>
      </c>
      <c r="AY127" s="59"/>
      <c r="AZ127" s="59">
        <f t="shared" si="1517"/>
        <v>5147.2234273841405</v>
      </c>
      <c r="BA127" s="59">
        <v>5314</v>
      </c>
      <c r="BB127" s="59">
        <f t="shared" si="1529"/>
        <v>4825.4390669069899</v>
      </c>
      <c r="BC127" s="59">
        <f t="shared" si="1530"/>
        <v>321.78436047715098</v>
      </c>
      <c r="BD127" s="43">
        <f t="shared" si="1458"/>
        <v>6.6684990943924299e-002</v>
      </c>
      <c r="BG127" s="340"/>
    </row>
    <row r="128" s="5" customFormat="1" ht="17" customHeight="1">
      <c r="A128" s="46">
        <v>84</v>
      </c>
      <c r="B128" s="82" t="s">
        <v>172</v>
      </c>
      <c r="C128" s="46" t="s">
        <v>90</v>
      </c>
      <c r="D128" s="46">
        <v>2018</v>
      </c>
      <c r="E128" s="46"/>
      <c r="F128" s="46"/>
      <c r="G128" s="73">
        <v>20962</v>
      </c>
      <c r="H128" s="59">
        <f t="shared" si="1507"/>
        <v>16769.599999999999</v>
      </c>
      <c r="I128" s="59">
        <f t="shared" si="1508"/>
        <v>0</v>
      </c>
      <c r="J128" s="59">
        <f t="shared" si="1509"/>
        <v>0</v>
      </c>
      <c r="K128" s="59">
        <f t="shared" si="1510"/>
        <v>16769.599999999999</v>
      </c>
      <c r="L128" s="59">
        <f t="shared" si="1511"/>
        <v>0</v>
      </c>
      <c r="M128" s="59">
        <f t="shared" si="1512"/>
        <v>0</v>
      </c>
      <c r="N128" s="59">
        <v>3233</v>
      </c>
      <c r="O128" s="59">
        <v>2322</v>
      </c>
      <c r="P128" s="59">
        <f t="shared" si="1523"/>
        <v>0</v>
      </c>
      <c r="Q128" s="59"/>
      <c r="R128" s="59"/>
      <c r="S128" s="59"/>
      <c r="T128" s="59"/>
      <c r="U128" s="59">
        <v>528</v>
      </c>
      <c r="V128" s="59">
        <f t="shared" si="1524"/>
        <v>1328.86050270081</v>
      </c>
      <c r="W128" s="59">
        <v>12154.459999999999</v>
      </c>
      <c r="X128" s="62">
        <f t="shared" si="1525"/>
        <v>0.56544597241900196</v>
      </c>
      <c r="Y128" s="62">
        <f t="shared" si="1526"/>
        <v>1.3680965302677699</v>
      </c>
      <c r="Z128" s="62">
        <f t="shared" si="1531"/>
        <v>0.68404826513388695</v>
      </c>
      <c r="AA128" s="59">
        <f t="shared" si="1527"/>
        <v>249.254863412823</v>
      </c>
      <c r="AB128" s="59">
        <v>2317.4000000000001</v>
      </c>
      <c r="AC128" s="59">
        <f t="shared" si="1501"/>
        <v>162.81101022843501</v>
      </c>
      <c r="AD128" s="59"/>
      <c r="AE128" s="59"/>
      <c r="AF128" s="59">
        <v>14</v>
      </c>
      <c r="AG128" s="59">
        <f t="shared" si="1513"/>
        <v>14</v>
      </c>
      <c r="AH128" s="59">
        <f t="shared" si="1514"/>
        <v>159.85281783547299</v>
      </c>
      <c r="AI128" s="59">
        <v>1</v>
      </c>
      <c r="AJ128" s="59">
        <f t="shared" si="1515"/>
        <v>1</v>
      </c>
      <c r="AK128" s="59">
        <f t="shared" si="1516"/>
        <v>462.147108861243</v>
      </c>
      <c r="AL128" s="338"/>
      <c r="AM128" s="59"/>
      <c r="AN128" s="59">
        <v>1</v>
      </c>
      <c r="AO128" s="59">
        <f t="shared" si="1528"/>
        <v>600</v>
      </c>
      <c r="AP128" s="59"/>
      <c r="AQ128" s="62">
        <v>87.040000000000006</v>
      </c>
      <c r="AR128" s="62" t="s">
        <v>442</v>
      </c>
      <c r="AS128" s="59">
        <v>600</v>
      </c>
      <c r="AT128" s="59" t="s">
        <v>441</v>
      </c>
      <c r="AU128" s="59">
        <v>800</v>
      </c>
      <c r="AV128" s="62">
        <v>14.7691498649324</v>
      </c>
      <c r="AW128" s="59">
        <f t="shared" si="1466"/>
        <v>377.32423049488102</v>
      </c>
      <c r="AX128" s="59">
        <v>2500</v>
      </c>
      <c r="AY128" s="59"/>
      <c r="AZ128" s="59">
        <f t="shared" si="1517"/>
        <v>4740.25053353367</v>
      </c>
      <c r="BA128" s="59">
        <v>4765</v>
      </c>
      <c r="BB128" s="59">
        <f t="shared" si="1529"/>
        <v>4326.9132769687303</v>
      </c>
      <c r="BC128" s="59">
        <f t="shared" si="1530"/>
        <v>413.33725656494198</v>
      </c>
      <c r="BD128" s="43">
        <f t="shared" si="1458"/>
        <v>9.5527048985486293e-002</v>
      </c>
      <c r="BG128" s="340"/>
    </row>
    <row r="129" s="5" customFormat="1" ht="17" customHeight="1">
      <c r="A129" s="46">
        <v>85</v>
      </c>
      <c r="B129" s="82" t="s">
        <v>173</v>
      </c>
      <c r="C129" s="46" t="s">
        <v>78</v>
      </c>
      <c r="D129" s="46"/>
      <c r="E129" s="46"/>
      <c r="F129" s="46"/>
      <c r="G129" s="73">
        <v>18733</v>
      </c>
      <c r="H129" s="59">
        <f t="shared" si="1507"/>
        <v>11239.799999999999</v>
      </c>
      <c r="I129" s="59">
        <f t="shared" si="1508"/>
        <v>11239.799999999999</v>
      </c>
      <c r="J129" s="59">
        <f t="shared" si="1509"/>
        <v>0</v>
      </c>
      <c r="K129" s="59">
        <f t="shared" si="1510"/>
        <v>0</v>
      </c>
      <c r="L129" s="59">
        <f t="shared" si="1511"/>
        <v>0</v>
      </c>
      <c r="M129" s="59">
        <f t="shared" si="1512"/>
        <v>0</v>
      </c>
      <c r="N129" s="59">
        <v>2963</v>
      </c>
      <c r="O129" s="59">
        <v>3836</v>
      </c>
      <c r="P129" s="59">
        <f t="shared" si="1523"/>
        <v>1265.4000000000001</v>
      </c>
      <c r="Q129" s="59">
        <v>2109</v>
      </c>
      <c r="R129" s="59"/>
      <c r="S129" s="59"/>
      <c r="T129" s="59"/>
      <c r="U129" s="59">
        <v>558</v>
      </c>
      <c r="V129" s="59">
        <f t="shared" si="1524"/>
        <v>1397.43707311859</v>
      </c>
      <c r="W129" s="59">
        <v>12804.200000000001</v>
      </c>
      <c r="X129" s="62">
        <f t="shared" si="1525"/>
        <v>0.46059880394124902</v>
      </c>
      <c r="Y129" s="62">
        <f t="shared" si="1526"/>
        <v>0.99931516503093398</v>
      </c>
      <c r="Z129" s="62">
        <f>Y129*0.2</f>
        <v>0.19986303300618699</v>
      </c>
      <c r="AA129" s="59">
        <f t="shared" si="1527"/>
        <v>72.826488323128899</v>
      </c>
      <c r="AB129" s="59">
        <v>2019.8</v>
      </c>
      <c r="AC129" s="59">
        <f t="shared" si="1501"/>
        <v>141.90285598489399</v>
      </c>
      <c r="AD129" s="59"/>
      <c r="AE129" s="59"/>
      <c r="AF129" s="59">
        <v>165</v>
      </c>
      <c r="AG129" s="59">
        <f>AF129*0.5</f>
        <v>82.5</v>
      </c>
      <c r="AH129" s="59">
        <f t="shared" si="1514"/>
        <v>941.98981938761096</v>
      </c>
      <c r="AI129" s="59">
        <v>1</v>
      </c>
      <c r="AJ129" s="59">
        <f>AI129*0.5</f>
        <v>0.5</v>
      </c>
      <c r="AK129" s="59">
        <f t="shared" si="1516"/>
        <v>231.07355443062099</v>
      </c>
      <c r="AL129" s="338"/>
      <c r="AM129" s="59"/>
      <c r="AN129" s="59">
        <v>1</v>
      </c>
      <c r="AO129" s="59">
        <f t="shared" si="1528"/>
        <v>600</v>
      </c>
      <c r="AP129" s="59"/>
      <c r="AQ129" s="62">
        <v>84.879999999999995</v>
      </c>
      <c r="AR129" s="62" t="s">
        <v>442</v>
      </c>
      <c r="AS129" s="59">
        <v>300</v>
      </c>
      <c r="AT129" s="59" t="s">
        <v>443</v>
      </c>
      <c r="AU129" s="59"/>
      <c r="AV129" s="62">
        <v>15.120378549046601</v>
      </c>
      <c r="AW129" s="59">
        <f t="shared" si="1466"/>
        <v>386.29746823524601</v>
      </c>
      <c r="AX129" s="59">
        <v>42.828595866681397</v>
      </c>
      <c r="AY129" s="59"/>
      <c r="AZ129" s="59">
        <f t="shared" si="1517"/>
        <v>4071.5272594800899</v>
      </c>
      <c r="BA129" s="59">
        <v>2683</v>
      </c>
      <c r="BB129" s="59">
        <f t="shared" si="1529"/>
        <v>2436.3291337055798</v>
      </c>
      <c r="BC129" s="59">
        <f t="shared" si="1530"/>
        <v>1635.1981257745099</v>
      </c>
      <c r="BD129" s="43">
        <f t="shared" si="1458"/>
        <v>0.67117291467406404</v>
      </c>
      <c r="BG129" s="340"/>
    </row>
    <row r="130" ht="17" customHeight="1">
      <c r="A130" s="46">
        <v>86</v>
      </c>
      <c r="B130" s="82" t="s">
        <v>174</v>
      </c>
      <c r="C130" s="46" t="s">
        <v>93</v>
      </c>
      <c r="D130" s="46">
        <v>2019</v>
      </c>
      <c r="E130" s="46" t="s">
        <v>94</v>
      </c>
      <c r="F130" s="46"/>
      <c r="G130" s="73">
        <v>95507</v>
      </c>
      <c r="H130" s="59">
        <f t="shared" si="1507"/>
        <v>85956.300000000003</v>
      </c>
      <c r="I130" s="59">
        <f t="shared" si="1508"/>
        <v>0</v>
      </c>
      <c r="J130" s="59">
        <f t="shared" si="1509"/>
        <v>0</v>
      </c>
      <c r="K130" s="59">
        <f t="shared" si="1510"/>
        <v>0</v>
      </c>
      <c r="L130" s="59">
        <f t="shared" si="1511"/>
        <v>85956.300000000003</v>
      </c>
      <c r="M130" s="59">
        <f t="shared" si="1512"/>
        <v>0</v>
      </c>
      <c r="N130" s="59">
        <v>11154</v>
      </c>
      <c r="O130" s="59">
        <v>9638</v>
      </c>
      <c r="P130" s="59">
        <f t="shared" si="1523"/>
        <v>1128.5999999999999</v>
      </c>
      <c r="Q130" s="59">
        <v>1881</v>
      </c>
      <c r="R130" s="59"/>
      <c r="S130" s="59"/>
      <c r="T130" s="59"/>
      <c r="U130" s="59">
        <v>19</v>
      </c>
      <c r="V130" s="59">
        <f t="shared" si="1524"/>
        <v>5202.8084622617898</v>
      </c>
      <c r="W130" s="59">
        <v>12053.959999999999</v>
      </c>
      <c r="X130" s="62">
        <f t="shared" si="1525"/>
        <v>0.58166344468793096</v>
      </c>
      <c r="Y130" s="62">
        <f t="shared" si="1526"/>
        <v>6.20408046738594</v>
      </c>
      <c r="Z130" s="62">
        <f>Y130*1</f>
        <v>6.20408046738594</v>
      </c>
      <c r="AA130" s="59">
        <f t="shared" si="1527"/>
        <v>2260.6551442649602</v>
      </c>
      <c r="AB130" s="59">
        <v>15445.092000000001</v>
      </c>
      <c r="AC130" s="59">
        <f t="shared" si="1501"/>
        <v>1085.1087561884499</v>
      </c>
      <c r="AD130" s="59">
        <v>1</v>
      </c>
      <c r="AE130" s="59"/>
      <c r="AF130" s="59">
        <v>40</v>
      </c>
      <c r="AG130" s="59">
        <f>AF130</f>
        <v>40</v>
      </c>
      <c r="AH130" s="59">
        <f t="shared" si="1514"/>
        <v>456.72233667278101</v>
      </c>
      <c r="AI130" s="59">
        <v>1</v>
      </c>
      <c r="AJ130" s="59">
        <f>AI130</f>
        <v>1</v>
      </c>
      <c r="AK130" s="59">
        <f t="shared" si="1516"/>
        <v>462.147108861243</v>
      </c>
      <c r="AL130" s="338"/>
      <c r="AM130" s="59"/>
      <c r="AN130" s="59">
        <v>2</v>
      </c>
      <c r="AO130" s="59">
        <f t="shared" si="1528"/>
        <v>1200</v>
      </c>
      <c r="AP130" s="59">
        <f>5000+BF130+N130/470414*13615</f>
        <v>5798.5935164295997</v>
      </c>
      <c r="AQ130" s="62">
        <v>75.609999999999999</v>
      </c>
      <c r="AR130" s="62" t="s">
        <v>440</v>
      </c>
      <c r="AS130" s="59"/>
      <c r="AT130" s="59" t="s">
        <v>441</v>
      </c>
      <c r="AU130" s="59">
        <v>800</v>
      </c>
      <c r="AV130" s="62">
        <v>14.336058980928</v>
      </c>
      <c r="AW130" s="59">
        <f t="shared" si="1466"/>
        <v>366.25956624299198</v>
      </c>
      <c r="AX130" s="59">
        <v>31.580416911358999</v>
      </c>
      <c r="AY130" s="59"/>
      <c r="AZ130" s="59">
        <f t="shared" si="1517"/>
        <v>17632.294890921799</v>
      </c>
      <c r="BA130" s="59">
        <v>19062</v>
      </c>
      <c r="BB130" s="59">
        <f t="shared" si="1529"/>
        <v>17309.469230971201</v>
      </c>
      <c r="BC130" s="59">
        <f t="shared" si="1530"/>
        <v>322.82565995059798</v>
      </c>
      <c r="BD130" s="43">
        <f t="shared" si="1458"/>
        <v>1.8650234483965501e-002</v>
      </c>
      <c r="BF130" s="341">
        <v>475.76785647899999</v>
      </c>
      <c r="BG130" s="339"/>
    </row>
    <row r="131" ht="17" customHeight="1">
      <c r="A131" s="46">
        <v>87</v>
      </c>
      <c r="B131" s="82" t="s">
        <v>175</v>
      </c>
      <c r="C131" s="46" t="s">
        <v>78</v>
      </c>
      <c r="D131" s="46"/>
      <c r="E131" s="46"/>
      <c r="F131" s="46"/>
      <c r="G131" s="73">
        <v>24287</v>
      </c>
      <c r="H131" s="59">
        <f t="shared" si="1507"/>
        <v>14572.200000000001</v>
      </c>
      <c r="I131" s="59">
        <f t="shared" si="1508"/>
        <v>14572.200000000001</v>
      </c>
      <c r="J131" s="59">
        <f t="shared" si="1509"/>
        <v>0</v>
      </c>
      <c r="K131" s="59">
        <f t="shared" si="1510"/>
        <v>0</v>
      </c>
      <c r="L131" s="59">
        <f t="shared" si="1511"/>
        <v>0</v>
      </c>
      <c r="M131" s="59">
        <f t="shared" si="1512"/>
        <v>0</v>
      </c>
      <c r="N131" s="59">
        <v>3289</v>
      </c>
      <c r="O131" s="59">
        <v>4811</v>
      </c>
      <c r="P131" s="59">
        <f t="shared" si="1523"/>
        <v>834</v>
      </c>
      <c r="Q131" s="59">
        <v>1390</v>
      </c>
      <c r="R131" s="59"/>
      <c r="S131" s="59"/>
      <c r="T131" s="59"/>
      <c r="U131" s="59">
        <v>722</v>
      </c>
      <c r="V131" s="59">
        <f t="shared" si="1524"/>
        <v>1508.9934870104601</v>
      </c>
      <c r="W131" s="59">
        <v>13995.15</v>
      </c>
      <c r="X131" s="62">
        <f t="shared" si="1525"/>
        <v>0.26841772335735598</v>
      </c>
      <c r="Y131" s="62">
        <f t="shared" si="1526"/>
        <v>0.74018871393024399</v>
      </c>
      <c r="Z131" s="62">
        <f>Y131*0.2</f>
        <v>0.148037742786049</v>
      </c>
      <c r="AA131" s="59">
        <f t="shared" si="1527"/>
        <v>53.942286295919502</v>
      </c>
      <c r="AB131" s="59">
        <v>1155.4200000000001</v>
      </c>
      <c r="AC131" s="59">
        <f t="shared" si="1501"/>
        <v>81.175065779812996</v>
      </c>
      <c r="AD131" s="59"/>
      <c r="AE131" s="59"/>
      <c r="AF131" s="59">
        <v>35</v>
      </c>
      <c r="AG131" s="59">
        <f>AF131*0.5</f>
        <v>17.5</v>
      </c>
      <c r="AH131" s="59">
        <f t="shared" si="1514"/>
        <v>199.81602229434199</v>
      </c>
      <c r="AI131" s="59">
        <v>1</v>
      </c>
      <c r="AJ131" s="59">
        <f>AI131*0.5</f>
        <v>0.5</v>
      </c>
      <c r="AK131" s="59">
        <f t="shared" si="1516"/>
        <v>231.07355443062099</v>
      </c>
      <c r="AL131" s="338"/>
      <c r="AM131" s="59"/>
      <c r="AN131" s="59">
        <v>1</v>
      </c>
      <c r="AO131" s="59">
        <f t="shared" si="1528"/>
        <v>600</v>
      </c>
      <c r="AP131" s="59"/>
      <c r="AQ131" s="62">
        <v>78.349999999999994</v>
      </c>
      <c r="AR131" s="62" t="s">
        <v>440</v>
      </c>
      <c r="AS131" s="59"/>
      <c r="AT131" s="59" t="s">
        <v>441</v>
      </c>
      <c r="AU131" s="59">
        <v>300</v>
      </c>
      <c r="AV131" s="62">
        <v>14.486684434285699</v>
      </c>
      <c r="AW131" s="59">
        <f t="shared" si="1466"/>
        <v>370.10776561810201</v>
      </c>
      <c r="AX131" s="59">
        <v>1262.6176693790101</v>
      </c>
      <c r="AY131" s="59"/>
      <c r="AZ131" s="59">
        <f t="shared" si="1517"/>
        <v>3345.1081814292502</v>
      </c>
      <c r="BA131" s="59">
        <v>2810</v>
      </c>
      <c r="BB131" s="59">
        <f t="shared" si="1529"/>
        <v>2551.6529503215402</v>
      </c>
      <c r="BC131" s="59">
        <f t="shared" si="1530"/>
        <v>793.45523110771603</v>
      </c>
      <c r="BD131" s="43">
        <f t="shared" si="1458"/>
        <v>0.310957346690792</v>
      </c>
      <c r="BG131" s="340"/>
    </row>
    <row r="132" s="5" customFormat="1" ht="17" customHeight="1">
      <c r="A132" s="65"/>
      <c r="B132" s="66" t="s">
        <v>176</v>
      </c>
      <c r="C132" s="67">
        <v>1</v>
      </c>
      <c r="D132" s="67"/>
      <c r="E132" s="67"/>
      <c r="F132" s="68"/>
      <c r="G132" s="69">
        <f t="shared" ref="G132:P132" si="1532">G133+G134</f>
        <v>392543</v>
      </c>
      <c r="H132" s="69">
        <f t="shared" si="1532"/>
        <v>309588.90000000002</v>
      </c>
      <c r="I132" s="69">
        <f t="shared" si="1532"/>
        <v>8682.6000000000004</v>
      </c>
      <c r="J132" s="69">
        <f t="shared" si="1532"/>
        <v>106491</v>
      </c>
      <c r="K132" s="69">
        <f t="shared" si="1532"/>
        <v>71460</v>
      </c>
      <c r="L132" s="69">
        <f t="shared" si="1532"/>
        <v>122955.3</v>
      </c>
      <c r="M132" s="69">
        <f t="shared" si="1532"/>
        <v>0</v>
      </c>
      <c r="N132" s="69">
        <f t="shared" si="1532"/>
        <v>40540</v>
      </c>
      <c r="O132" s="69">
        <f t="shared" si="1532"/>
        <v>17911</v>
      </c>
      <c r="P132" s="69">
        <f t="shared" si="1532"/>
        <v>1028.4000000000001</v>
      </c>
      <c r="Q132" s="59">
        <v>1714</v>
      </c>
      <c r="R132" s="69">
        <f t="shared" ref="R132:V132" si="1533">R133+R134</f>
        <v>0</v>
      </c>
      <c r="S132" s="69">
        <f t="shared" si="1533"/>
        <v>0</v>
      </c>
      <c r="T132" s="69">
        <f t="shared" si="1533"/>
        <v>0</v>
      </c>
      <c r="U132" s="69">
        <f t="shared" si="1533"/>
        <v>10066</v>
      </c>
      <c r="V132" s="69">
        <f t="shared" si="1533"/>
        <v>20515.985431616999</v>
      </c>
      <c r="W132" s="69"/>
      <c r="X132" s="69">
        <f t="shared" ref="X132:AM132" si="1534">X133+X134</f>
        <v>8.5413731115923497</v>
      </c>
      <c r="Y132" s="69">
        <f t="shared" si="1534"/>
        <v>31.6214646802818</v>
      </c>
      <c r="Z132" s="69">
        <f t="shared" si="1534"/>
        <v>26.643910263884901</v>
      </c>
      <c r="AA132" s="69">
        <f t="shared" si="1534"/>
        <v>9708.5608605531506</v>
      </c>
      <c r="AB132" s="69">
        <f t="shared" si="1534"/>
        <v>111994.4295</v>
      </c>
      <c r="AC132" s="69">
        <f t="shared" si="1534"/>
        <v>7868.2688387211001</v>
      </c>
      <c r="AD132" s="69">
        <f t="shared" si="1534"/>
        <v>1</v>
      </c>
      <c r="AE132" s="69">
        <f t="shared" si="1534"/>
        <v>0</v>
      </c>
      <c r="AF132" s="69">
        <f t="shared" si="1534"/>
        <v>218</v>
      </c>
      <c r="AG132" s="59">
        <f t="shared" si="1534"/>
        <v>214</v>
      </c>
      <c r="AH132" s="59">
        <f t="shared" si="1534"/>
        <v>2443.4645011993798</v>
      </c>
      <c r="AI132" s="69">
        <f t="shared" si="1534"/>
        <v>5.8080299090563798</v>
      </c>
      <c r="AJ132" s="59">
        <f t="shared" si="1534"/>
        <v>5.5270947501826999</v>
      </c>
      <c r="AK132" s="59">
        <f t="shared" si="1534"/>
        <v>2554.3308591990899</v>
      </c>
      <c r="AL132" s="69">
        <f t="shared" si="1534"/>
        <v>0</v>
      </c>
      <c r="AM132" s="69">
        <f t="shared" si="1534"/>
        <v>600</v>
      </c>
      <c r="AN132" s="69">
        <v>24</v>
      </c>
      <c r="AO132" s="69">
        <f t="shared" ref="AO132:AR132" si="1535">AO133+AO134</f>
        <v>14400</v>
      </c>
      <c r="AP132" s="69">
        <f t="shared" si="1535"/>
        <v>0</v>
      </c>
      <c r="AQ132" s="69">
        <f t="shared" si="1535"/>
        <v>915.21000000000004</v>
      </c>
      <c r="AR132" s="69">
        <f t="shared" si="1535"/>
        <v>0</v>
      </c>
      <c r="AS132" s="69">
        <v>2100</v>
      </c>
      <c r="AT132" s="69"/>
      <c r="AU132" s="69">
        <v>5900</v>
      </c>
      <c r="AV132" s="71">
        <f t="shared" ref="AV132:BC132" si="1536">AV133+AV134</f>
        <v>153.650623995128</v>
      </c>
      <c r="AW132" s="71">
        <v>3925.48684211521</v>
      </c>
      <c r="AX132" s="69">
        <f t="shared" si="1536"/>
        <v>13627.934440516001</v>
      </c>
      <c r="AY132" s="71">
        <f t="shared" si="1536"/>
        <v>0</v>
      </c>
      <c r="AZ132" s="71">
        <f t="shared" si="1536"/>
        <v>70018.097333404905</v>
      </c>
      <c r="BA132" s="71">
        <f t="shared" si="1536"/>
        <v>73333</v>
      </c>
      <c r="BB132" s="69">
        <f t="shared" si="1536"/>
        <v>66590.877511006896</v>
      </c>
      <c r="BC132" s="69">
        <f t="shared" si="1536"/>
        <v>3427.2198223980399</v>
      </c>
      <c r="BD132" s="336">
        <f t="shared" si="1458"/>
        <v>5.1466806723361701e-002</v>
      </c>
      <c r="BG132" s="340"/>
    </row>
    <row r="133" s="5" customFormat="1" ht="17" customHeight="1">
      <c r="A133" s="44"/>
      <c r="B133" s="72" t="s">
        <v>177</v>
      </c>
      <c r="C133" s="46">
        <v>2</v>
      </c>
      <c r="D133" s="46"/>
      <c r="E133" s="46"/>
      <c r="F133" s="46"/>
      <c r="G133" s="73"/>
      <c r="H133" s="59">
        <f t="shared" ref="H133:H146" si="1537">SUM(I133:M133)</f>
        <v>0</v>
      </c>
      <c r="I133" s="59">
        <f t="shared" ref="I133:I146" si="1538">IF(D133="",G133*0.6,0)</f>
        <v>0</v>
      </c>
      <c r="J133" s="59">
        <f t="shared" ref="J133:J146" si="1539">IF(D133=2017,G133*0.7,0)</f>
        <v>0</v>
      </c>
      <c r="K133" s="59">
        <f t="shared" ref="K133:K146" si="1540">IF(D133=2018,G133*0.8,0)</f>
        <v>0</v>
      </c>
      <c r="L133" s="59">
        <f t="shared" ref="L133:L146" si="1541">IF(D133=2019,G133*0.9,0)</f>
        <v>0</v>
      </c>
      <c r="M133" s="59">
        <f t="shared" ref="M133:M146" si="1542">IF(D133=2020,G133*1,0)</f>
        <v>0</v>
      </c>
      <c r="N133" s="59"/>
      <c r="O133" s="59"/>
      <c r="P133" s="59">
        <f>L133*0.4+M133*0.6+N133*0.8+O133*1</f>
        <v>0</v>
      </c>
      <c r="Q133" s="59"/>
      <c r="R133" s="59"/>
      <c r="S133" s="59"/>
      <c r="T133" s="59"/>
      <c r="U133" s="59"/>
      <c r="V133" s="59">
        <f>H133/$H$9*134866+N133/$N$9*202299+P133/$P$9*100000+U133/$U$9*34867</f>
        <v>0</v>
      </c>
      <c r="W133" s="59"/>
      <c r="X133" s="62"/>
      <c r="Y133" s="62"/>
      <c r="Z133" s="62"/>
      <c r="AA133" s="59"/>
      <c r="AB133" s="59"/>
      <c r="AC133" s="59"/>
      <c r="AD133" s="59"/>
      <c r="AE133" s="59"/>
      <c r="AF133" s="59"/>
      <c r="AG133" s="59">
        <f t="shared" ref="AG133:AG146" si="1543">AF133</f>
        <v>0</v>
      </c>
      <c r="AH133" s="59">
        <f t="shared" ref="AH133:AH146" si="1544">AG133/$AG$9*40459.89</f>
        <v>0</v>
      </c>
      <c r="AI133" s="59"/>
      <c r="AJ133" s="59">
        <f t="shared" ref="AJ133:AJ146" si="1545">AI133</f>
        <v>0</v>
      </c>
      <c r="AK133" s="59">
        <f t="shared" ref="AK133:AK146" si="1546">AJ133/$AJ$9*40459.89</f>
        <v>0</v>
      </c>
      <c r="AL133" s="59"/>
      <c r="AM133" s="59"/>
      <c r="AN133" s="59"/>
      <c r="AO133" s="59"/>
      <c r="AP133" s="59"/>
      <c r="AQ133" s="62"/>
      <c r="AR133" s="62"/>
      <c r="AS133" s="59"/>
      <c r="AT133" s="59"/>
      <c r="AU133" s="59"/>
      <c r="AV133" s="62"/>
      <c r="AW133" s="59">
        <v>0</v>
      </c>
      <c r="AX133" s="59"/>
      <c r="AY133" s="59"/>
      <c r="AZ133" s="59">
        <f t="shared" ref="AZ133:AZ146" si="1547">V133+AA133+AC133+AE133+AH133+AK133+AM133+AO133+AP133+AS133+AU133+AW133+AY133</f>
        <v>0</v>
      </c>
      <c r="BA133" s="73"/>
      <c r="BB133" s="170"/>
      <c r="BC133" s="50"/>
      <c r="BD133" s="43"/>
      <c r="BG133" s="340"/>
    </row>
    <row r="134" s="5" customFormat="1" ht="17" customHeight="1">
      <c r="A134" s="75"/>
      <c r="B134" s="76" t="s">
        <v>76</v>
      </c>
      <c r="C134" s="77">
        <v>3</v>
      </c>
      <c r="D134" s="77"/>
      <c r="E134" s="77"/>
      <c r="F134" s="78"/>
      <c r="G134" s="79">
        <f t="shared" ref="G134:P134" si="1548">SUM(G135:G146)</f>
        <v>392543</v>
      </c>
      <c r="H134" s="79">
        <f t="shared" si="1548"/>
        <v>309588.90000000002</v>
      </c>
      <c r="I134" s="79">
        <f t="shared" si="1548"/>
        <v>8682.6000000000004</v>
      </c>
      <c r="J134" s="79">
        <f t="shared" si="1548"/>
        <v>106491</v>
      </c>
      <c r="K134" s="79">
        <f t="shared" si="1548"/>
        <v>71460</v>
      </c>
      <c r="L134" s="79">
        <f t="shared" si="1548"/>
        <v>122955.3</v>
      </c>
      <c r="M134" s="79">
        <f t="shared" si="1548"/>
        <v>0</v>
      </c>
      <c r="N134" s="79">
        <f t="shared" si="1548"/>
        <v>40540</v>
      </c>
      <c r="O134" s="79">
        <f t="shared" si="1548"/>
        <v>17911</v>
      </c>
      <c r="P134" s="79">
        <f t="shared" si="1548"/>
        <v>1028.4000000000001</v>
      </c>
      <c r="Q134" s="59">
        <v>1714</v>
      </c>
      <c r="R134" s="79">
        <f t="shared" ref="R134:V134" si="1549">SUM(R135:R146)</f>
        <v>0</v>
      </c>
      <c r="S134" s="79">
        <f t="shared" si="1549"/>
        <v>0</v>
      </c>
      <c r="T134" s="79">
        <f t="shared" si="1549"/>
        <v>0</v>
      </c>
      <c r="U134" s="79">
        <f t="shared" si="1549"/>
        <v>10066</v>
      </c>
      <c r="V134" s="79">
        <f t="shared" si="1549"/>
        <v>20515.985431616999</v>
      </c>
      <c r="W134" s="79"/>
      <c r="X134" s="79">
        <f t="shared" ref="X134:AM134" si="1550">SUM(X135:X146)</f>
        <v>8.5413731115923497</v>
      </c>
      <c r="Y134" s="79">
        <f t="shared" si="1550"/>
        <v>31.6214646802818</v>
      </c>
      <c r="Z134" s="79">
        <f t="shared" si="1550"/>
        <v>26.643910263884901</v>
      </c>
      <c r="AA134" s="79">
        <f t="shared" si="1550"/>
        <v>9708.5608605531506</v>
      </c>
      <c r="AB134" s="79">
        <f t="shared" si="1550"/>
        <v>111994.4295</v>
      </c>
      <c r="AC134" s="79">
        <f t="shared" si="1550"/>
        <v>7868.2688387211001</v>
      </c>
      <c r="AD134" s="79">
        <f t="shared" si="1550"/>
        <v>1</v>
      </c>
      <c r="AE134" s="79">
        <f t="shared" si="1550"/>
        <v>0</v>
      </c>
      <c r="AF134" s="79">
        <f t="shared" si="1550"/>
        <v>218</v>
      </c>
      <c r="AG134" s="59">
        <f t="shared" si="1550"/>
        <v>214</v>
      </c>
      <c r="AH134" s="59">
        <f t="shared" si="1550"/>
        <v>2443.4645011993798</v>
      </c>
      <c r="AI134" s="79">
        <f t="shared" si="1550"/>
        <v>5.8080299090563798</v>
      </c>
      <c r="AJ134" s="59">
        <f t="shared" si="1550"/>
        <v>5.5270947501826999</v>
      </c>
      <c r="AK134" s="59">
        <f t="shared" si="1550"/>
        <v>2554.3308591990899</v>
      </c>
      <c r="AL134" s="79">
        <f t="shared" si="1550"/>
        <v>0</v>
      </c>
      <c r="AM134" s="79">
        <f t="shared" si="1550"/>
        <v>600</v>
      </c>
      <c r="AN134" s="79">
        <v>24</v>
      </c>
      <c r="AO134" s="79">
        <f t="shared" ref="AO134:AR134" si="1551">SUM(AO135:AO146)</f>
        <v>14400</v>
      </c>
      <c r="AP134" s="79">
        <f t="shared" si="1551"/>
        <v>0</v>
      </c>
      <c r="AQ134" s="79">
        <f t="shared" si="1551"/>
        <v>915.21000000000004</v>
      </c>
      <c r="AR134" s="79">
        <f t="shared" si="1551"/>
        <v>0</v>
      </c>
      <c r="AS134" s="79">
        <v>2100</v>
      </c>
      <c r="AT134" s="79"/>
      <c r="AU134" s="79">
        <v>5900</v>
      </c>
      <c r="AV134" s="81">
        <f t="shared" ref="AV134:BC134" si="1552">SUM(AV135:AV146)</f>
        <v>153.650623995128</v>
      </c>
      <c r="AW134" s="81">
        <v>3925.48684211521</v>
      </c>
      <c r="AX134" s="79">
        <f t="shared" si="1552"/>
        <v>13627.934440516001</v>
      </c>
      <c r="AY134" s="81">
        <f t="shared" si="1552"/>
        <v>0</v>
      </c>
      <c r="AZ134" s="81">
        <f t="shared" si="1552"/>
        <v>70018.097333404905</v>
      </c>
      <c r="BA134" s="81">
        <f t="shared" si="1552"/>
        <v>73333</v>
      </c>
      <c r="BB134" s="79">
        <f t="shared" si="1552"/>
        <v>66590.877511006896</v>
      </c>
      <c r="BC134" s="79">
        <f t="shared" si="1552"/>
        <v>3427.2198223980399</v>
      </c>
      <c r="BD134" s="337">
        <f t="shared" si="1458"/>
        <v>5.1466806723361701e-002</v>
      </c>
      <c r="BG134" s="340"/>
    </row>
    <row r="135" ht="17" customHeight="1">
      <c r="A135" s="46">
        <v>88</v>
      </c>
      <c r="B135" s="82" t="s">
        <v>178</v>
      </c>
      <c r="C135" s="46" t="s">
        <v>78</v>
      </c>
      <c r="D135" s="46"/>
      <c r="E135" s="46"/>
      <c r="F135" s="46"/>
      <c r="G135" s="73">
        <v>14471</v>
      </c>
      <c r="H135" s="59">
        <f t="shared" si="1537"/>
        <v>8682.6000000000004</v>
      </c>
      <c r="I135" s="59">
        <f t="shared" si="1538"/>
        <v>8682.6000000000004</v>
      </c>
      <c r="J135" s="59">
        <f t="shared" si="1539"/>
        <v>0</v>
      </c>
      <c r="K135" s="59">
        <f t="shared" si="1540"/>
        <v>0</v>
      </c>
      <c r="L135" s="59">
        <f t="shared" si="1541"/>
        <v>0</v>
      </c>
      <c r="M135" s="59">
        <f t="shared" si="1542"/>
        <v>0</v>
      </c>
      <c r="N135" s="59">
        <v>891</v>
      </c>
      <c r="O135" s="59">
        <v>153</v>
      </c>
      <c r="P135" s="59">
        <f t="shared" ref="P135:P146" si="1553">Q135*0.6+R135*0.8+S135*1+T135*1.25</f>
        <v>0</v>
      </c>
      <c r="Q135" s="59"/>
      <c r="R135" s="59"/>
      <c r="S135" s="59"/>
      <c r="T135" s="59"/>
      <c r="U135" s="59">
        <v>379</v>
      </c>
      <c r="V135" s="59">
        <f t="shared" ref="V135:V146" si="1554">H135/$H$9*(134866+26973)+N135/$N$9*202299+P135/$P$9*100000+U135/$U$9*34867</f>
        <v>536.40418324551899</v>
      </c>
      <c r="W135" s="59">
        <v>12252.440000000001</v>
      </c>
      <c r="X135" s="62">
        <f t="shared" ref="X135:X146" si="1555">($W$64-W135)/($W$64-$W$44)</f>
        <v>0.54963514721591999</v>
      </c>
      <c r="Y135" s="62">
        <f t="shared" ref="Y135:Y146" si="1556">(G135+N135)*X135/10000</f>
        <v>0.84434951315309603</v>
      </c>
      <c r="Z135" s="62">
        <f>Y135*0.2</f>
        <v>0.16886990263061899</v>
      </c>
      <c r="AA135" s="59">
        <f t="shared" ref="AA135:AA146" si="1557">Z135/$Z$9*(1348663*0.1+30000)</f>
        <v>61.533150013169298</v>
      </c>
      <c r="AB135" s="59">
        <v>2585.3499999999999</v>
      </c>
      <c r="AC135" s="59">
        <f t="shared" ref="AC135:AC146" si="1558">(AB135/$AB$9*1348663*0.037)</f>
        <v>181.63607719603201</v>
      </c>
      <c r="AD135" s="59"/>
      <c r="AE135" s="59"/>
      <c r="AF135" s="59">
        <v>8</v>
      </c>
      <c r="AG135" s="59">
        <f>AF135*0.5</f>
        <v>4</v>
      </c>
      <c r="AH135" s="59">
        <f t="shared" si="1544"/>
        <v>45.6722336672781</v>
      </c>
      <c r="AI135" s="59">
        <v>0.56187031774735197</v>
      </c>
      <c r="AJ135" s="59">
        <f>AI135*0.5</f>
        <v>0.28093515887367598</v>
      </c>
      <c r="AK135" s="59">
        <f t="shared" si="1546"/>
        <v>129.83337145094299</v>
      </c>
      <c r="AL135" s="338"/>
      <c r="AM135" s="59"/>
      <c r="AN135" s="59">
        <v>1</v>
      </c>
      <c r="AO135" s="59">
        <f t="shared" ref="AO135:AO146" si="1559">AN135*600</f>
        <v>600</v>
      </c>
      <c r="AP135" s="59"/>
      <c r="AQ135" s="62">
        <v>80.540000000000006</v>
      </c>
      <c r="AR135" s="62" t="s">
        <v>442</v>
      </c>
      <c r="AS135" s="59">
        <v>300</v>
      </c>
      <c r="AT135" s="59" t="s">
        <v>441</v>
      </c>
      <c r="AU135" s="59">
        <v>300</v>
      </c>
      <c r="AV135" s="62">
        <v>5.8045028044874503</v>
      </c>
      <c r="AW135" s="59">
        <f t="shared" si="1466"/>
        <v>148.294219649631</v>
      </c>
      <c r="AX135" s="59">
        <v>2450</v>
      </c>
      <c r="AY135" s="59"/>
      <c r="AZ135" s="59">
        <f t="shared" si="1547"/>
        <v>2303.3732352225702</v>
      </c>
      <c r="BA135" s="59">
        <v>3470</v>
      </c>
      <c r="BB135" s="59">
        <f t="shared" ref="BB135:BB146" si="1560">BA135/$BA$9*1348663</f>
        <v>3150.9735721052398</v>
      </c>
      <c r="BC135" s="59">
        <f t="shared" ref="BC135:BC146" si="1561">AZ135-BB135</f>
        <v>-847.60033688267004</v>
      </c>
      <c r="BD135" s="43">
        <f t="shared" si="1458"/>
        <v>-0.26899633319246402</v>
      </c>
      <c r="BG135" s="340"/>
    </row>
    <row r="136" s="54" customFormat="1" ht="17" customHeight="1">
      <c r="A136" s="46">
        <v>89</v>
      </c>
      <c r="B136" s="82" t="s">
        <v>179</v>
      </c>
      <c r="C136" s="46" t="s">
        <v>90</v>
      </c>
      <c r="D136" s="46">
        <v>2018</v>
      </c>
      <c r="E136" s="46"/>
      <c r="F136" s="46"/>
      <c r="G136" s="190">
        <v>15569</v>
      </c>
      <c r="H136" s="172">
        <f t="shared" si="1537"/>
        <v>12455.200000000001</v>
      </c>
      <c r="I136" s="59">
        <f t="shared" si="1538"/>
        <v>0</v>
      </c>
      <c r="J136" s="59">
        <f t="shared" si="1539"/>
        <v>0</v>
      </c>
      <c r="K136" s="59">
        <f t="shared" si="1540"/>
        <v>12455.200000000001</v>
      </c>
      <c r="L136" s="59">
        <f t="shared" si="1541"/>
        <v>0</v>
      </c>
      <c r="M136" s="59">
        <f t="shared" si="1542"/>
        <v>0</v>
      </c>
      <c r="N136" s="59">
        <v>2137</v>
      </c>
      <c r="O136" s="59">
        <v>1058</v>
      </c>
      <c r="P136" s="59">
        <f t="shared" si="1553"/>
        <v>0</v>
      </c>
      <c r="Q136" s="59"/>
      <c r="R136" s="59"/>
      <c r="S136" s="172"/>
      <c r="T136" s="172"/>
      <c r="U136" s="59">
        <v>0</v>
      </c>
      <c r="V136" s="59">
        <f t="shared" si="1554"/>
        <v>834.66048455074201</v>
      </c>
      <c r="W136" s="59">
        <v>10305.219999999999</v>
      </c>
      <c r="X136" s="62">
        <f t="shared" si="1555"/>
        <v>0.86385391688263102</v>
      </c>
      <c r="Y136" s="62">
        <f t="shared" si="1556"/>
        <v>1.52953974523239</v>
      </c>
      <c r="Z136" s="62">
        <f t="shared" ref="Z136:Z138" si="1562">Y136*0.5</f>
        <v>0.764769872616193</v>
      </c>
      <c r="AA136" s="59">
        <f t="shared" si="1557"/>
        <v>278.66836282945798</v>
      </c>
      <c r="AB136" s="59">
        <v>2860.3800000000001</v>
      </c>
      <c r="AC136" s="59">
        <f t="shared" si="1558"/>
        <v>200.95855589764901</v>
      </c>
      <c r="AD136" s="59"/>
      <c r="AE136" s="59"/>
      <c r="AF136" s="59">
        <v>5</v>
      </c>
      <c r="AG136" s="59">
        <f t="shared" si="1543"/>
        <v>5</v>
      </c>
      <c r="AH136" s="59">
        <f t="shared" si="1544"/>
        <v>57.090292084097598</v>
      </c>
      <c r="AI136" s="59">
        <v>0.38961038961039002</v>
      </c>
      <c r="AJ136" s="59">
        <f t="shared" si="1545"/>
        <v>0.38961038961039002</v>
      </c>
      <c r="AK136" s="59">
        <f t="shared" si="1546"/>
        <v>180.05731514074401</v>
      </c>
      <c r="AL136" s="338"/>
      <c r="AM136" s="59"/>
      <c r="AN136" s="59">
        <v>2</v>
      </c>
      <c r="AO136" s="59">
        <f t="shared" si="1559"/>
        <v>1200</v>
      </c>
      <c r="AP136" s="59"/>
      <c r="AQ136" s="62">
        <v>75.260000000000005</v>
      </c>
      <c r="AR136" s="62" t="s">
        <v>440</v>
      </c>
      <c r="AS136" s="59"/>
      <c r="AT136" s="59" t="s">
        <v>443</v>
      </c>
      <c r="AU136" s="59"/>
      <c r="AV136" s="62">
        <v>14.649061402625501</v>
      </c>
      <c r="AW136" s="59">
        <f t="shared" si="1466"/>
        <v>374.256194281175</v>
      </c>
      <c r="AX136" s="59">
        <v>2507.8935080934598</v>
      </c>
      <c r="AY136" s="59"/>
      <c r="AZ136" s="172">
        <f>V136+AA136+AC136+AE136+AH136+AK136+AM136+AO136+AP136+AS136+AU136+AW136+AY136+2</f>
        <v>3127.69120478387</v>
      </c>
      <c r="BA136" s="59">
        <v>8628</v>
      </c>
      <c r="BB136" s="59">
        <f t="shared" si="1560"/>
        <v>7834.7550374997199</v>
      </c>
      <c r="BC136" s="59">
        <f t="shared" si="1561"/>
        <v>-4707.0638327158604</v>
      </c>
      <c r="BD136" s="43">
        <f t="shared" si="1458"/>
        <v>-0.60079272551423701</v>
      </c>
      <c r="BG136" s="340"/>
    </row>
    <row r="137" ht="17" customHeight="1">
      <c r="A137" s="46">
        <v>90</v>
      </c>
      <c r="B137" s="82" t="s">
        <v>180</v>
      </c>
      <c r="C137" s="46" t="s">
        <v>90</v>
      </c>
      <c r="D137" s="46">
        <v>2017</v>
      </c>
      <c r="E137" s="46"/>
      <c r="F137" s="46"/>
      <c r="G137" s="73">
        <v>30588</v>
      </c>
      <c r="H137" s="59">
        <f t="shared" si="1537"/>
        <v>21411.599999999999</v>
      </c>
      <c r="I137" s="59">
        <f t="shared" si="1538"/>
        <v>0</v>
      </c>
      <c r="J137" s="59">
        <f t="shared" si="1539"/>
        <v>21411.599999999999</v>
      </c>
      <c r="K137" s="59">
        <f t="shared" si="1540"/>
        <v>0</v>
      </c>
      <c r="L137" s="59">
        <f t="shared" si="1541"/>
        <v>0</v>
      </c>
      <c r="M137" s="59">
        <f t="shared" si="1542"/>
        <v>0</v>
      </c>
      <c r="N137" s="59">
        <v>1438</v>
      </c>
      <c r="O137" s="59">
        <v>820</v>
      </c>
      <c r="P137" s="59">
        <f t="shared" si="1553"/>
        <v>0</v>
      </c>
      <c r="Q137" s="59"/>
      <c r="R137" s="59"/>
      <c r="S137" s="59"/>
      <c r="T137" s="59"/>
      <c r="U137" s="59">
        <v>701</v>
      </c>
      <c r="V137" s="59">
        <f t="shared" si="1554"/>
        <v>1096.29964024178</v>
      </c>
      <c r="W137" s="59">
        <v>11053.360000000001</v>
      </c>
      <c r="X137" s="62">
        <f t="shared" si="1555"/>
        <v>0.743128148690822</v>
      </c>
      <c r="Y137" s="62">
        <f t="shared" si="1556"/>
        <v>2.37994220899723</v>
      </c>
      <c r="Z137" s="62">
        <f t="shared" si="1562"/>
        <v>1.1899711044986101</v>
      </c>
      <c r="AA137" s="59">
        <f t="shared" si="1557"/>
        <v>433.60403093625803</v>
      </c>
      <c r="AB137" s="59">
        <v>1163.2</v>
      </c>
      <c r="AC137" s="59">
        <f t="shared" si="1558"/>
        <v>81.721656640077697</v>
      </c>
      <c r="AD137" s="59"/>
      <c r="AE137" s="59"/>
      <c r="AF137" s="59">
        <v>8</v>
      </c>
      <c r="AG137" s="59">
        <f t="shared" si="1543"/>
        <v>8</v>
      </c>
      <c r="AH137" s="59">
        <f t="shared" si="1544"/>
        <v>91.344467334556199</v>
      </c>
      <c r="AI137" s="59">
        <v>0.65594269758407198</v>
      </c>
      <c r="AJ137" s="59">
        <f t="shared" si="1545"/>
        <v>0.65594269758407198</v>
      </c>
      <c r="AK137" s="59">
        <f t="shared" si="1546"/>
        <v>303.14202126712303</v>
      </c>
      <c r="AL137" s="338" t="s">
        <v>1544</v>
      </c>
      <c r="AM137" s="59">
        <v>100</v>
      </c>
      <c r="AN137" s="59">
        <v>1</v>
      </c>
      <c r="AO137" s="59">
        <f t="shared" si="1559"/>
        <v>600</v>
      </c>
      <c r="AP137" s="59"/>
      <c r="AQ137" s="62">
        <v>74.980000000000004</v>
      </c>
      <c r="AR137" s="62" t="s">
        <v>440</v>
      </c>
      <c r="AS137" s="59"/>
      <c r="AT137" s="59" t="s">
        <v>441</v>
      </c>
      <c r="AU137" s="59">
        <v>800</v>
      </c>
      <c r="AV137" s="62">
        <v>14.330413366281</v>
      </c>
      <c r="AW137" s="59">
        <f t="shared" si="1466"/>
        <v>366.11533131939598</v>
      </c>
      <c r="AX137" s="59">
        <v>0</v>
      </c>
      <c r="AY137" s="59"/>
      <c r="AZ137" s="59">
        <f t="shared" si="1547"/>
        <v>3872.2271477391901</v>
      </c>
      <c r="BA137" s="59">
        <v>2364</v>
      </c>
      <c r="BB137" s="59">
        <f t="shared" si="1560"/>
        <v>2146.6574998434598</v>
      </c>
      <c r="BC137" s="59">
        <f t="shared" si="1561"/>
        <v>1725.56964789573</v>
      </c>
      <c r="BD137" s="43">
        <f t="shared" si="1458"/>
        <v>0.80384022510417497</v>
      </c>
      <c r="BG137" s="340"/>
    </row>
    <row r="138" ht="17" customHeight="1">
      <c r="A138" s="46">
        <v>91</v>
      </c>
      <c r="B138" s="82" t="s">
        <v>181</v>
      </c>
      <c r="C138" s="46" t="s">
        <v>90</v>
      </c>
      <c r="D138" s="46">
        <v>2017</v>
      </c>
      <c r="E138" s="46"/>
      <c r="F138" s="46"/>
      <c r="G138" s="73">
        <v>34586</v>
      </c>
      <c r="H138" s="59">
        <f t="shared" si="1537"/>
        <v>24210.200000000001</v>
      </c>
      <c r="I138" s="59">
        <f t="shared" si="1538"/>
        <v>0</v>
      </c>
      <c r="J138" s="59">
        <f t="shared" si="1539"/>
        <v>24210.200000000001</v>
      </c>
      <c r="K138" s="59">
        <f t="shared" si="1540"/>
        <v>0</v>
      </c>
      <c r="L138" s="59">
        <f t="shared" si="1541"/>
        <v>0</v>
      </c>
      <c r="M138" s="59">
        <f t="shared" si="1542"/>
        <v>0</v>
      </c>
      <c r="N138" s="59">
        <v>3139</v>
      </c>
      <c r="O138" s="59">
        <v>1427</v>
      </c>
      <c r="P138" s="59">
        <f t="shared" si="1553"/>
        <v>0</v>
      </c>
      <c r="Q138" s="59"/>
      <c r="R138" s="59"/>
      <c r="S138" s="59"/>
      <c r="T138" s="59"/>
      <c r="U138" s="59">
        <v>61</v>
      </c>
      <c r="V138" s="59">
        <f t="shared" si="1554"/>
        <v>1407.90423535889</v>
      </c>
      <c r="W138" s="59">
        <v>10633.58</v>
      </c>
      <c r="X138" s="62">
        <f t="shared" si="1555"/>
        <v>0.81086715873113202</v>
      </c>
      <c r="Y138" s="62">
        <f t="shared" si="1556"/>
        <v>3.0589963563131999</v>
      </c>
      <c r="Z138" s="62">
        <f t="shared" si="1562"/>
        <v>1.5294981781565999</v>
      </c>
      <c r="AA138" s="59">
        <f t="shared" si="1557"/>
        <v>557.32157936540602</v>
      </c>
      <c r="AB138" s="59">
        <v>17233.5</v>
      </c>
      <c r="AC138" s="59">
        <f t="shared" si="1558"/>
        <v>1210.75496020184</v>
      </c>
      <c r="AD138" s="59"/>
      <c r="AE138" s="59"/>
      <c r="AF138" s="59">
        <v>42</v>
      </c>
      <c r="AG138" s="59">
        <f t="shared" si="1543"/>
        <v>42</v>
      </c>
      <c r="AH138" s="59">
        <f t="shared" si="1544"/>
        <v>479.55845350641999</v>
      </c>
      <c r="AI138" s="59">
        <v>0.25648079568299698</v>
      </c>
      <c r="AJ138" s="59">
        <f t="shared" si="1545"/>
        <v>0.25648079568299698</v>
      </c>
      <c r="AK138" s="59">
        <f t="shared" si="1546"/>
        <v>118.531858203328</v>
      </c>
      <c r="AL138" s="338"/>
      <c r="AM138" s="59"/>
      <c r="AN138" s="59">
        <v>1</v>
      </c>
      <c r="AO138" s="59">
        <f t="shared" si="1559"/>
        <v>600</v>
      </c>
      <c r="AP138" s="59"/>
      <c r="AQ138" s="62">
        <v>67.650000000000006</v>
      </c>
      <c r="AR138" s="62" t="s">
        <v>440</v>
      </c>
      <c r="AS138" s="59"/>
      <c r="AT138" s="59" t="s">
        <v>441</v>
      </c>
      <c r="AU138" s="59">
        <v>800</v>
      </c>
      <c r="AV138" s="62">
        <v>13.858590192670199</v>
      </c>
      <c r="AW138" s="59">
        <f t="shared" si="1466"/>
        <v>354.06112931450798</v>
      </c>
      <c r="AX138" s="59">
        <v>11.9394470925888</v>
      </c>
      <c r="AY138" s="59"/>
      <c r="AZ138" s="59">
        <f t="shared" si="1547"/>
        <v>5528.1322159503898</v>
      </c>
      <c r="BA138" s="59">
        <v>2729</v>
      </c>
      <c r="BB138" s="59">
        <f t="shared" si="1560"/>
        <v>2478.0999649208102</v>
      </c>
      <c r="BC138" s="59">
        <f t="shared" si="1561"/>
        <v>3050.03225102958</v>
      </c>
      <c r="BD138" s="43">
        <f t="shared" si="1458"/>
        <v>1.2307946790705999</v>
      </c>
      <c r="BG138" s="340"/>
    </row>
    <row r="139" ht="17" customHeight="1">
      <c r="A139" s="46">
        <v>92</v>
      </c>
      <c r="B139" s="82" t="s">
        <v>182</v>
      </c>
      <c r="C139" s="46" t="s">
        <v>90</v>
      </c>
      <c r="D139" s="46">
        <v>2019</v>
      </c>
      <c r="E139" s="46" t="s">
        <v>91</v>
      </c>
      <c r="F139" s="46"/>
      <c r="G139" s="73">
        <v>63053</v>
      </c>
      <c r="H139" s="59">
        <f t="shared" si="1537"/>
        <v>56747.699999999997</v>
      </c>
      <c r="I139" s="59">
        <f t="shared" si="1538"/>
        <v>0</v>
      </c>
      <c r="J139" s="59">
        <f t="shared" si="1539"/>
        <v>0</v>
      </c>
      <c r="K139" s="59">
        <f t="shared" si="1540"/>
        <v>0</v>
      </c>
      <c r="L139" s="59">
        <f t="shared" si="1541"/>
        <v>56747.699999999997</v>
      </c>
      <c r="M139" s="59">
        <f t="shared" si="1542"/>
        <v>0</v>
      </c>
      <c r="N139" s="59">
        <v>7716</v>
      </c>
      <c r="O139" s="59">
        <v>1481</v>
      </c>
      <c r="P139" s="59">
        <f t="shared" si="1553"/>
        <v>0</v>
      </c>
      <c r="Q139" s="59"/>
      <c r="R139" s="59"/>
      <c r="S139" s="59"/>
      <c r="T139" s="59"/>
      <c r="U139" s="59">
        <v>2557</v>
      </c>
      <c r="V139" s="59">
        <f t="shared" si="1554"/>
        <v>3951.6296360811298</v>
      </c>
      <c r="W139" s="59">
        <v>10601.57</v>
      </c>
      <c r="X139" s="62">
        <f t="shared" si="1555"/>
        <v>0.81603254467469899</v>
      </c>
      <c r="Y139" s="62">
        <f t="shared" si="1556"/>
        <v>5.7749807154083701</v>
      </c>
      <c r="Z139" s="62">
        <f t="shared" ref="Z139:Z145" si="1563">Y139*1</f>
        <v>5.7749807154083701</v>
      </c>
      <c r="AA139" s="59">
        <f t="shared" si="1557"/>
        <v>2104.29892567458</v>
      </c>
      <c r="AB139" s="59">
        <v>15802.719499999999</v>
      </c>
      <c r="AC139" s="59">
        <f t="shared" si="1558"/>
        <v>1110.23419614723</v>
      </c>
      <c r="AD139" s="59"/>
      <c r="AE139" s="59"/>
      <c r="AF139" s="59">
        <v>10</v>
      </c>
      <c r="AG139" s="59">
        <f t="shared" si="1543"/>
        <v>10</v>
      </c>
      <c r="AH139" s="59">
        <f t="shared" si="1544"/>
        <v>114.180584168195</v>
      </c>
      <c r="AI139" s="59">
        <v>0.167782760951035</v>
      </c>
      <c r="AJ139" s="59">
        <f t="shared" si="1545"/>
        <v>0.167782760951035</v>
      </c>
      <c r="AK139" s="59">
        <f t="shared" si="1546"/>
        <v>77.540317890277805</v>
      </c>
      <c r="AL139" s="338" t="s">
        <v>1544</v>
      </c>
      <c r="AM139" s="59">
        <v>100</v>
      </c>
      <c r="AN139" s="59">
        <v>2</v>
      </c>
      <c r="AO139" s="59">
        <f t="shared" si="1559"/>
        <v>1200</v>
      </c>
      <c r="AP139" s="59"/>
      <c r="AQ139" s="62">
        <v>84.209999999999994</v>
      </c>
      <c r="AR139" s="62" t="s">
        <v>442</v>
      </c>
      <c r="AS139" s="59">
        <v>600</v>
      </c>
      <c r="AT139" s="59" t="s">
        <v>443</v>
      </c>
      <c r="AU139" s="59"/>
      <c r="AV139" s="62">
        <v>8.69237132661336</v>
      </c>
      <c r="AW139" s="59">
        <f t="shared" si="1466"/>
        <v>222.07387371549001</v>
      </c>
      <c r="AX139" s="59">
        <v>1625</v>
      </c>
      <c r="AY139" s="59"/>
      <c r="AZ139" s="59">
        <f t="shared" si="1547"/>
        <v>9479.9575336769103</v>
      </c>
      <c r="BA139" s="59">
        <v>11286</v>
      </c>
      <c r="BB139" s="59">
        <f t="shared" si="1560"/>
        <v>10248.3826325014</v>
      </c>
      <c r="BC139" s="59">
        <f t="shared" si="1561"/>
        <v>-768.42509882446598</v>
      </c>
      <c r="BD139" s="43">
        <f t="shared" si="1458"/>
        <v>-7.4980133585909298e-002</v>
      </c>
      <c r="BG139" s="340"/>
    </row>
    <row r="140" ht="17" customHeight="1">
      <c r="A140" s="46">
        <v>93</v>
      </c>
      <c r="B140" s="82" t="s">
        <v>183</v>
      </c>
      <c r="C140" s="46" t="s">
        <v>90</v>
      </c>
      <c r="D140" s="46">
        <v>2018</v>
      </c>
      <c r="E140" s="46" t="s">
        <v>91</v>
      </c>
      <c r="F140" s="46"/>
      <c r="G140" s="73">
        <v>53447</v>
      </c>
      <c r="H140" s="59">
        <f t="shared" si="1537"/>
        <v>42757.599999999999</v>
      </c>
      <c r="I140" s="59">
        <f t="shared" si="1538"/>
        <v>0</v>
      </c>
      <c r="J140" s="59">
        <f t="shared" si="1539"/>
        <v>0</v>
      </c>
      <c r="K140" s="59">
        <f t="shared" si="1540"/>
        <v>42757.599999999999</v>
      </c>
      <c r="L140" s="59">
        <f t="shared" si="1541"/>
        <v>0</v>
      </c>
      <c r="M140" s="59">
        <f t="shared" si="1542"/>
        <v>0</v>
      </c>
      <c r="N140" s="59">
        <v>6456</v>
      </c>
      <c r="O140" s="59">
        <v>1813</v>
      </c>
      <c r="P140" s="59">
        <f t="shared" si="1553"/>
        <v>0</v>
      </c>
      <c r="Q140" s="59"/>
      <c r="R140" s="59"/>
      <c r="S140" s="59"/>
      <c r="T140" s="59"/>
      <c r="U140" s="59">
        <v>1464</v>
      </c>
      <c r="V140" s="59">
        <f t="shared" si="1554"/>
        <v>3012.9182669322599</v>
      </c>
      <c r="W140" s="59">
        <v>11188.459999999999</v>
      </c>
      <c r="X140" s="62">
        <f t="shared" si="1555"/>
        <v>0.72132734766064999</v>
      </c>
      <c r="Y140" s="62">
        <f t="shared" si="1556"/>
        <v>4.32096721069159</v>
      </c>
      <c r="Z140" s="62">
        <f t="shared" si="1563"/>
        <v>4.32096721069159</v>
      </c>
      <c r="AA140" s="59">
        <f t="shared" si="1557"/>
        <v>1574.48260131384</v>
      </c>
      <c r="AB140" s="59">
        <v>3070.0900000000001</v>
      </c>
      <c r="AC140" s="59">
        <f t="shared" si="1558"/>
        <v>215.691919561671</v>
      </c>
      <c r="AD140" s="59">
        <v>1</v>
      </c>
      <c r="AE140" s="59"/>
      <c r="AF140" s="59">
        <v>30</v>
      </c>
      <c r="AG140" s="59">
        <f t="shared" si="1543"/>
        <v>30</v>
      </c>
      <c r="AH140" s="59">
        <f t="shared" si="1544"/>
        <v>342.54175250458599</v>
      </c>
      <c r="AI140" s="59">
        <v>0.79704278869981804</v>
      </c>
      <c r="AJ140" s="59">
        <f t="shared" si="1545"/>
        <v>0.79704278869981804</v>
      </c>
      <c r="AK140" s="59">
        <f t="shared" si="1546"/>
        <v>368.35102043632298</v>
      </c>
      <c r="AL140" s="338" t="s">
        <v>1544</v>
      </c>
      <c r="AM140" s="59">
        <v>100</v>
      </c>
      <c r="AN140" s="59">
        <v>3</v>
      </c>
      <c r="AO140" s="59">
        <f t="shared" si="1559"/>
        <v>1800</v>
      </c>
      <c r="AP140" s="59"/>
      <c r="AQ140" s="62">
        <v>69.019999999999996</v>
      </c>
      <c r="AR140" s="62" t="s">
        <v>440</v>
      </c>
      <c r="AS140" s="59"/>
      <c r="AT140" s="59" t="s">
        <v>443</v>
      </c>
      <c r="AU140" s="59"/>
      <c r="AV140" s="62">
        <v>13.1158714727947</v>
      </c>
      <c r="AW140" s="59">
        <f t="shared" si="1466"/>
        <v>335.08605139776398</v>
      </c>
      <c r="AX140" s="59">
        <v>1290.6258540815099</v>
      </c>
      <c r="AY140" s="59"/>
      <c r="AZ140" s="59">
        <f t="shared" si="1547"/>
        <v>7749.0716121464402</v>
      </c>
      <c r="BA140" s="59">
        <v>10586</v>
      </c>
      <c r="BB140" s="59">
        <f t="shared" si="1560"/>
        <v>9612.73954879138</v>
      </c>
      <c r="BC140" s="59">
        <f t="shared" si="1561"/>
        <v>-1863.66793664494</v>
      </c>
      <c r="BD140" s="43">
        <f t="shared" si="1458"/>
        <v>-0.19387479783318001</v>
      </c>
      <c r="BG140" s="340"/>
    </row>
    <row r="141" ht="17" customHeight="1">
      <c r="A141" s="46">
        <v>94</v>
      </c>
      <c r="B141" s="82" t="s">
        <v>184</v>
      </c>
      <c r="C141" s="46" t="s">
        <v>90</v>
      </c>
      <c r="D141" s="46">
        <v>2017</v>
      </c>
      <c r="E141" s="46" t="s">
        <v>91</v>
      </c>
      <c r="F141" s="46"/>
      <c r="G141" s="73">
        <v>28858</v>
      </c>
      <c r="H141" s="59">
        <f t="shared" si="1537"/>
        <v>20200.599999999999</v>
      </c>
      <c r="I141" s="59">
        <f t="shared" si="1538"/>
        <v>0</v>
      </c>
      <c r="J141" s="59">
        <f t="shared" si="1539"/>
        <v>20200.599999999999</v>
      </c>
      <c r="K141" s="59">
        <f t="shared" si="1540"/>
        <v>0</v>
      </c>
      <c r="L141" s="59">
        <f t="shared" si="1541"/>
        <v>0</v>
      </c>
      <c r="M141" s="59">
        <f t="shared" si="1542"/>
        <v>0</v>
      </c>
      <c r="N141" s="59">
        <v>2450</v>
      </c>
      <c r="O141" s="59">
        <v>1314</v>
      </c>
      <c r="P141" s="59">
        <f t="shared" si="1553"/>
        <v>0</v>
      </c>
      <c r="Q141" s="59"/>
      <c r="R141" s="59"/>
      <c r="S141" s="59"/>
      <c r="T141" s="59"/>
      <c r="U141" s="59">
        <v>901</v>
      </c>
      <c r="V141" s="59">
        <f t="shared" si="1554"/>
        <v>1337.56956801213</v>
      </c>
      <c r="W141" s="59">
        <v>10232.51</v>
      </c>
      <c r="X141" s="62">
        <f t="shared" si="1555"/>
        <v>0.875586975675405</v>
      </c>
      <c r="Y141" s="62">
        <f t="shared" si="1556"/>
        <v>2.7412877034445602</v>
      </c>
      <c r="Z141" s="62">
        <f t="shared" si="1563"/>
        <v>2.7412877034445602</v>
      </c>
      <c r="AA141" s="59">
        <f t="shared" si="1557"/>
        <v>998.87584973786602</v>
      </c>
      <c r="AB141" s="59">
        <v>16323.6</v>
      </c>
      <c r="AC141" s="59">
        <f t="shared" si="1558"/>
        <v>1146.8291216729499</v>
      </c>
      <c r="AD141" s="59"/>
      <c r="AE141" s="59"/>
      <c r="AF141" s="59">
        <v>24</v>
      </c>
      <c r="AG141" s="59">
        <f t="shared" si="1543"/>
        <v>24</v>
      </c>
      <c r="AH141" s="59">
        <f t="shared" si="1544"/>
        <v>274.03340200366898</v>
      </c>
      <c r="AI141" s="59">
        <v>0.60083981721625301</v>
      </c>
      <c r="AJ141" s="59">
        <f t="shared" si="1545"/>
        <v>0.60083981721625301</v>
      </c>
      <c r="AK141" s="59">
        <f t="shared" si="1546"/>
        <v>277.67638441520899</v>
      </c>
      <c r="AL141" s="338" t="s">
        <v>1544</v>
      </c>
      <c r="AM141" s="59">
        <v>100</v>
      </c>
      <c r="AN141" s="59">
        <v>2</v>
      </c>
      <c r="AO141" s="59">
        <f t="shared" si="1559"/>
        <v>1200</v>
      </c>
      <c r="AP141" s="59"/>
      <c r="AQ141" s="62">
        <v>66.459999999999994</v>
      </c>
      <c r="AR141" s="62" t="s">
        <v>440</v>
      </c>
      <c r="AS141" s="59"/>
      <c r="AT141" s="59" t="s">
        <v>443</v>
      </c>
      <c r="AU141" s="59"/>
      <c r="AV141" s="62">
        <v>13.2274398222544</v>
      </c>
      <c r="AW141" s="59">
        <f t="shared" si="1466"/>
        <v>337.93641462059401</v>
      </c>
      <c r="AX141" s="59">
        <v>15.8992953162434</v>
      </c>
      <c r="AY141" s="59"/>
      <c r="AZ141" s="59">
        <f t="shared" si="1547"/>
        <v>5672.9207404624103</v>
      </c>
      <c r="BA141" s="59">
        <v>4908</v>
      </c>
      <c r="BB141" s="59">
        <f t="shared" si="1560"/>
        <v>4456.7660783552001</v>
      </c>
      <c r="BC141" s="59">
        <f t="shared" si="1561"/>
        <v>1216.15466210722</v>
      </c>
      <c r="BD141" s="43">
        <f t="shared" si="1458"/>
        <v>0.27287828006356701</v>
      </c>
      <c r="BG141" s="340"/>
    </row>
    <row r="142" ht="17" customHeight="1">
      <c r="A142" s="46">
        <v>95</v>
      </c>
      <c r="B142" s="82" t="s">
        <v>185</v>
      </c>
      <c r="C142" s="46" t="s">
        <v>90</v>
      </c>
      <c r="D142" s="46">
        <v>2018</v>
      </c>
      <c r="E142" s="46" t="s">
        <v>91</v>
      </c>
      <c r="F142" s="46"/>
      <c r="G142" s="73">
        <v>20309</v>
      </c>
      <c r="H142" s="59">
        <f t="shared" si="1537"/>
        <v>16247.200000000001</v>
      </c>
      <c r="I142" s="59">
        <f t="shared" si="1538"/>
        <v>0</v>
      </c>
      <c r="J142" s="59">
        <f t="shared" si="1539"/>
        <v>0</v>
      </c>
      <c r="K142" s="59">
        <f t="shared" si="1540"/>
        <v>16247.200000000001</v>
      </c>
      <c r="L142" s="59">
        <f t="shared" si="1541"/>
        <v>0</v>
      </c>
      <c r="M142" s="59">
        <f t="shared" si="1542"/>
        <v>0</v>
      </c>
      <c r="N142" s="59">
        <v>2522</v>
      </c>
      <c r="O142" s="59">
        <v>1192</v>
      </c>
      <c r="P142" s="59">
        <f t="shared" si="1553"/>
        <v>0</v>
      </c>
      <c r="Q142" s="59"/>
      <c r="R142" s="59"/>
      <c r="S142" s="59"/>
      <c r="T142" s="59"/>
      <c r="U142" s="59">
        <v>325</v>
      </c>
      <c r="V142" s="59">
        <f t="shared" si="1554"/>
        <v>1105.70001470079</v>
      </c>
      <c r="W142" s="59">
        <v>11587.610000000001</v>
      </c>
      <c r="X142" s="62">
        <f t="shared" si="1555"/>
        <v>0.65691735705226095</v>
      </c>
      <c r="Y142" s="62">
        <f t="shared" si="1556"/>
        <v>1.49980801788602</v>
      </c>
      <c r="Z142" s="62">
        <f t="shared" si="1563"/>
        <v>1.49980801788602</v>
      </c>
      <c r="AA142" s="59">
        <f t="shared" si="1557"/>
        <v>546.50301988627302</v>
      </c>
      <c r="AB142" s="59">
        <v>7447.5</v>
      </c>
      <c r="AC142" s="59">
        <f t="shared" si="1558"/>
        <v>523.23077529829595</v>
      </c>
      <c r="AD142" s="59"/>
      <c r="AE142" s="59"/>
      <c r="AF142" s="59">
        <v>7</v>
      </c>
      <c r="AG142" s="59">
        <f t="shared" si="1543"/>
        <v>7</v>
      </c>
      <c r="AH142" s="59">
        <f t="shared" si="1544"/>
        <v>79.926408917736694</v>
      </c>
      <c r="AI142" s="59">
        <v>3.0393622321873402e-002</v>
      </c>
      <c r="AJ142" s="59">
        <f t="shared" si="1545"/>
        <v>3.0393622321873402e-002</v>
      </c>
      <c r="AK142" s="59">
        <f t="shared" si="1546"/>
        <v>14.0463246838743</v>
      </c>
      <c r="AL142" s="338" t="s">
        <v>1544</v>
      </c>
      <c r="AM142" s="59">
        <v>100</v>
      </c>
      <c r="AN142" s="59">
        <v>2</v>
      </c>
      <c r="AO142" s="59">
        <f t="shared" si="1559"/>
        <v>1200</v>
      </c>
      <c r="AP142" s="59"/>
      <c r="AQ142" s="62">
        <v>79.370000000000005</v>
      </c>
      <c r="AR142" s="62" t="s">
        <v>440</v>
      </c>
      <c r="AS142" s="59"/>
      <c r="AT142" s="59" t="s">
        <v>441</v>
      </c>
      <c r="AU142" s="59">
        <v>800</v>
      </c>
      <c r="AV142" s="62">
        <v>13.061545560938599</v>
      </c>
      <c r="AW142" s="59">
        <f t="shared" si="1466"/>
        <v>333.69812568270902</v>
      </c>
      <c r="AX142" s="59">
        <v>0</v>
      </c>
      <c r="AY142" s="59"/>
      <c r="AZ142" s="59">
        <f t="shared" si="1547"/>
        <v>4703.1046691696802</v>
      </c>
      <c r="BA142" s="59">
        <v>4500</v>
      </c>
      <c r="BB142" s="59">
        <f t="shared" si="1560"/>
        <v>4086.2769667070902</v>
      </c>
      <c r="BC142" s="59">
        <f t="shared" si="1561"/>
        <v>616.82770246258804</v>
      </c>
      <c r="BD142" s="43">
        <f t="shared" si="1458"/>
        <v>0.15095102644489999</v>
      </c>
      <c r="BG142" s="340"/>
    </row>
    <row r="143" ht="17" customHeight="1">
      <c r="A143" s="46">
        <v>96</v>
      </c>
      <c r="B143" s="82" t="s">
        <v>186</v>
      </c>
      <c r="C143" s="46" t="s">
        <v>90</v>
      </c>
      <c r="D143" s="46">
        <v>2019</v>
      </c>
      <c r="E143" s="46" t="s">
        <v>91</v>
      </c>
      <c r="F143" s="46"/>
      <c r="G143" s="73">
        <v>44723</v>
      </c>
      <c r="H143" s="59">
        <f t="shared" si="1537"/>
        <v>40250.699999999997</v>
      </c>
      <c r="I143" s="59">
        <f t="shared" si="1538"/>
        <v>0</v>
      </c>
      <c r="J143" s="59">
        <f t="shared" si="1539"/>
        <v>0</v>
      </c>
      <c r="K143" s="59">
        <f t="shared" si="1540"/>
        <v>0</v>
      </c>
      <c r="L143" s="59">
        <f t="shared" si="1541"/>
        <v>40250.699999999997</v>
      </c>
      <c r="M143" s="59">
        <f t="shared" si="1542"/>
        <v>0</v>
      </c>
      <c r="N143" s="59">
        <v>6336</v>
      </c>
      <c r="O143" s="59">
        <v>4637</v>
      </c>
      <c r="P143" s="59">
        <f t="shared" si="1553"/>
        <v>1028.4000000000001</v>
      </c>
      <c r="Q143" s="59">
        <v>1714</v>
      </c>
      <c r="R143" s="59"/>
      <c r="S143" s="59"/>
      <c r="T143" s="59"/>
      <c r="U143" s="59">
        <v>1979</v>
      </c>
      <c r="V143" s="59">
        <f t="shared" si="1554"/>
        <v>3263.3360423335498</v>
      </c>
      <c r="W143" s="59">
        <v>10597.82</v>
      </c>
      <c r="X143" s="62">
        <f t="shared" si="1555"/>
        <v>0.81663767423697198</v>
      </c>
      <c r="Y143" s="62">
        <f t="shared" si="1556"/>
        <v>4.1696703008865601</v>
      </c>
      <c r="Z143" s="62">
        <f t="shared" si="1563"/>
        <v>4.1696703008865601</v>
      </c>
      <c r="AA143" s="59">
        <f t="shared" si="1557"/>
        <v>1519.35273327615</v>
      </c>
      <c r="AB143" s="59">
        <v>12737.440000000001</v>
      </c>
      <c r="AC143" s="59">
        <f t="shared" si="1558"/>
        <v>894.88024256670496</v>
      </c>
      <c r="AD143" s="59"/>
      <c r="AE143" s="59"/>
      <c r="AF143" s="59">
        <v>16</v>
      </c>
      <c r="AG143" s="59">
        <f t="shared" si="1543"/>
        <v>16</v>
      </c>
      <c r="AH143" s="59">
        <f t="shared" si="1544"/>
        <v>182.688934669112</v>
      </c>
      <c r="AI143" s="59">
        <v>0.66811779769526203</v>
      </c>
      <c r="AJ143" s="59">
        <f t="shared" si="1545"/>
        <v>0.66811779769526203</v>
      </c>
      <c r="AK143" s="59">
        <f t="shared" si="1546"/>
        <v>308.76870858360599</v>
      </c>
      <c r="AL143" s="338"/>
      <c r="AM143" s="59"/>
      <c r="AN143" s="59">
        <v>3</v>
      </c>
      <c r="AO143" s="59">
        <f t="shared" si="1559"/>
        <v>1800</v>
      </c>
      <c r="AP143" s="59"/>
      <c r="AQ143" s="62">
        <v>79.280000000000001</v>
      </c>
      <c r="AR143" s="62" t="s">
        <v>440</v>
      </c>
      <c r="AS143" s="59"/>
      <c r="AT143" s="59" t="s">
        <v>441</v>
      </c>
      <c r="AU143" s="59">
        <v>800</v>
      </c>
      <c r="AV143" s="62">
        <v>14.591602806507399</v>
      </c>
      <c r="AW143" s="59">
        <f t="shared" si="1466"/>
        <v>372.788234326549</v>
      </c>
      <c r="AX143" s="59">
        <v>0</v>
      </c>
      <c r="AY143" s="59"/>
      <c r="AZ143" s="59">
        <f t="shared" si="1547"/>
        <v>9141.8148957556805</v>
      </c>
      <c r="BA143" s="59">
        <v>9304</v>
      </c>
      <c r="BB143" s="59">
        <f t="shared" si="1560"/>
        <v>8448.6046440539394</v>
      </c>
      <c r="BC143" s="59">
        <f t="shared" si="1561"/>
        <v>693.21025170173596</v>
      </c>
      <c r="BD143" s="43">
        <f t="shared" si="1458"/>
        <v>8.2050265210316303e-002</v>
      </c>
      <c r="BG143" s="340"/>
    </row>
    <row r="144" s="5" customFormat="1" ht="17" customHeight="1">
      <c r="A144" s="46">
        <v>97</v>
      </c>
      <c r="B144" s="82" t="s">
        <v>187</v>
      </c>
      <c r="C144" s="46" t="s">
        <v>90</v>
      </c>
      <c r="D144" s="46">
        <v>2017</v>
      </c>
      <c r="E144" s="46" t="s">
        <v>91</v>
      </c>
      <c r="F144" s="46"/>
      <c r="G144" s="73">
        <v>28268</v>
      </c>
      <c r="H144" s="59">
        <f t="shared" si="1537"/>
        <v>19787.599999999999</v>
      </c>
      <c r="I144" s="59">
        <f t="shared" si="1538"/>
        <v>0</v>
      </c>
      <c r="J144" s="59">
        <f t="shared" si="1539"/>
        <v>19787.599999999999</v>
      </c>
      <c r="K144" s="59">
        <f t="shared" si="1540"/>
        <v>0</v>
      </c>
      <c r="L144" s="59">
        <f t="shared" si="1541"/>
        <v>0</v>
      </c>
      <c r="M144" s="59">
        <f t="shared" si="1542"/>
        <v>0</v>
      </c>
      <c r="N144" s="59">
        <v>1632</v>
      </c>
      <c r="O144" s="59">
        <v>1475</v>
      </c>
      <c r="P144" s="59">
        <f t="shared" si="1553"/>
        <v>0</v>
      </c>
      <c r="Q144" s="59"/>
      <c r="R144" s="59"/>
      <c r="S144" s="59"/>
      <c r="T144" s="59"/>
      <c r="U144" s="59">
        <v>0</v>
      </c>
      <c r="V144" s="59">
        <f t="shared" si="1554"/>
        <v>928.34539255458606</v>
      </c>
      <c r="W144" s="59">
        <v>12245.32</v>
      </c>
      <c r="X144" s="62">
        <f t="shared" si="1555"/>
        <v>0.55078408654482303</v>
      </c>
      <c r="Y144" s="62">
        <f t="shared" si="1556"/>
        <v>1.6468444187690201</v>
      </c>
      <c r="Z144" s="62">
        <f t="shared" si="1563"/>
        <v>1.6468444187690201</v>
      </c>
      <c r="AA144" s="59">
        <f t="shared" si="1557"/>
        <v>600.08043523376102</v>
      </c>
      <c r="AB144" s="59">
        <v>6727.8000000000002</v>
      </c>
      <c r="AC144" s="59">
        <f t="shared" si="1558"/>
        <v>472.66760792908701</v>
      </c>
      <c r="AD144" s="59"/>
      <c r="AE144" s="59"/>
      <c r="AF144" s="59">
        <v>8</v>
      </c>
      <c r="AG144" s="59">
        <f t="shared" si="1543"/>
        <v>8</v>
      </c>
      <c r="AH144" s="59">
        <f t="shared" si="1544"/>
        <v>91.344467334556199</v>
      </c>
      <c r="AI144" s="59">
        <v>7.6844411979547098e-002</v>
      </c>
      <c r="AJ144" s="59">
        <f t="shared" si="1545"/>
        <v>7.6844411979547098e-002</v>
      </c>
      <c r="AK144" s="59">
        <f t="shared" si="1546"/>
        <v>35.513422828489901</v>
      </c>
      <c r="AL144" s="338"/>
      <c r="AM144" s="59"/>
      <c r="AN144" s="59">
        <v>2</v>
      </c>
      <c r="AO144" s="59">
        <f t="shared" si="1559"/>
        <v>1200</v>
      </c>
      <c r="AP144" s="59"/>
      <c r="AQ144" s="62">
        <v>71.530000000000001</v>
      </c>
      <c r="AR144" s="62" t="s">
        <v>440</v>
      </c>
      <c r="AS144" s="59"/>
      <c r="AT144" s="59" t="s">
        <v>441</v>
      </c>
      <c r="AU144" s="59">
        <v>800</v>
      </c>
      <c r="AV144" s="62">
        <v>14.553203008288101</v>
      </c>
      <c r="AW144" s="59">
        <f t="shared" si="1466"/>
        <v>371.80719110830302</v>
      </c>
      <c r="AX144" s="59">
        <v>1874.6068740517001</v>
      </c>
      <c r="AY144" s="59"/>
      <c r="AZ144" s="59">
        <f t="shared" si="1547"/>
        <v>4499.7585169887798</v>
      </c>
      <c r="BA144" s="59">
        <v>3272</v>
      </c>
      <c r="BB144" s="59">
        <f t="shared" si="1560"/>
        <v>2971.1773855701299</v>
      </c>
      <c r="BC144" s="59">
        <f t="shared" si="1561"/>
        <v>1528.5811314186501</v>
      </c>
      <c r="BD144" s="43">
        <f t="shared" si="1458"/>
        <v>0.51446983234403498</v>
      </c>
      <c r="BG144" s="340"/>
    </row>
    <row r="145" ht="17" customHeight="1">
      <c r="A145" s="46">
        <v>98</v>
      </c>
      <c r="B145" s="82" t="s">
        <v>188</v>
      </c>
      <c r="C145" s="46" t="s">
        <v>90</v>
      </c>
      <c r="D145" s="46">
        <v>2019</v>
      </c>
      <c r="E145" s="46" t="s">
        <v>91</v>
      </c>
      <c r="F145" s="46"/>
      <c r="G145" s="73">
        <v>28841</v>
      </c>
      <c r="H145" s="59">
        <f t="shared" si="1537"/>
        <v>25956.900000000001</v>
      </c>
      <c r="I145" s="59">
        <f t="shared" si="1538"/>
        <v>0</v>
      </c>
      <c r="J145" s="59">
        <f t="shared" si="1539"/>
        <v>0</v>
      </c>
      <c r="K145" s="59">
        <f t="shared" si="1540"/>
        <v>0</v>
      </c>
      <c r="L145" s="59">
        <f t="shared" si="1541"/>
        <v>25956.900000000001</v>
      </c>
      <c r="M145" s="59">
        <f t="shared" si="1542"/>
        <v>0</v>
      </c>
      <c r="N145" s="59">
        <v>2702</v>
      </c>
      <c r="O145" s="59">
        <v>1764</v>
      </c>
      <c r="P145" s="59">
        <f t="shared" si="1553"/>
        <v>0</v>
      </c>
      <c r="Q145" s="59"/>
      <c r="R145" s="59"/>
      <c r="S145" s="59"/>
      <c r="T145" s="59"/>
      <c r="U145" s="59">
        <v>1139</v>
      </c>
      <c r="V145" s="59">
        <f t="shared" si="1554"/>
        <v>1613.6531918611599</v>
      </c>
      <c r="W145" s="59">
        <v>11691.16</v>
      </c>
      <c r="X145" s="62">
        <f t="shared" si="1555"/>
        <v>0.64020771273934896</v>
      </c>
      <c r="Y145" s="62">
        <f t="shared" si="1556"/>
        <v>2.0194071882937301</v>
      </c>
      <c r="Z145" s="62">
        <f t="shared" si="1563"/>
        <v>2.0194071882937301</v>
      </c>
      <c r="AA145" s="59">
        <f t="shared" si="1557"/>
        <v>735.83559603722904</v>
      </c>
      <c r="AB145" s="59">
        <v>11833</v>
      </c>
      <c r="AC145" s="59">
        <f t="shared" si="1558"/>
        <v>831.33800122252296</v>
      </c>
      <c r="AD145" s="59"/>
      <c r="AE145" s="59"/>
      <c r="AF145" s="59">
        <v>17</v>
      </c>
      <c r="AG145" s="59">
        <f t="shared" si="1543"/>
        <v>17</v>
      </c>
      <c r="AH145" s="59">
        <f t="shared" si="1544"/>
        <v>194.106993085932</v>
      </c>
      <c r="AI145" s="59">
        <v>1</v>
      </c>
      <c r="AJ145" s="59">
        <f t="shared" si="1545"/>
        <v>1</v>
      </c>
      <c r="AK145" s="59">
        <f t="shared" si="1546"/>
        <v>462.147108861243</v>
      </c>
      <c r="AL145" s="338"/>
      <c r="AM145" s="59"/>
      <c r="AN145" s="59">
        <v>3</v>
      </c>
      <c r="AO145" s="59">
        <f t="shared" si="1559"/>
        <v>1800</v>
      </c>
      <c r="AP145" s="59"/>
      <c r="AQ145" s="62">
        <v>85.439999999999998</v>
      </c>
      <c r="AR145" s="62" t="s">
        <v>442</v>
      </c>
      <c r="AS145" s="59">
        <v>600</v>
      </c>
      <c r="AT145" s="59" t="s">
        <v>441</v>
      </c>
      <c r="AU145" s="59">
        <v>800</v>
      </c>
      <c r="AV145" s="62">
        <v>13.3455199608699</v>
      </c>
      <c r="AW145" s="59">
        <f t="shared" si="1466"/>
        <v>340.95314191006401</v>
      </c>
      <c r="AX145" s="59">
        <v>1569.43889038062</v>
      </c>
      <c r="AY145" s="59"/>
      <c r="AZ145" s="59">
        <f t="shared" si="1547"/>
        <v>7378.0340329781502</v>
      </c>
      <c r="BA145" s="59">
        <v>8935</v>
      </c>
      <c r="BB145" s="59">
        <f t="shared" si="1560"/>
        <v>8113.5299327839602</v>
      </c>
      <c r="BC145" s="59">
        <f t="shared" si="1561"/>
        <v>-735.49589980580902</v>
      </c>
      <c r="BD145" s="43">
        <f t="shared" si="1458"/>
        <v>-9.0650543708962597e-002</v>
      </c>
      <c r="BG145" s="340"/>
    </row>
    <row r="146" s="5" customFormat="1" ht="17" customHeight="1">
      <c r="A146" s="46">
        <v>99</v>
      </c>
      <c r="B146" s="82" t="s">
        <v>189</v>
      </c>
      <c r="C146" s="46" t="s">
        <v>90</v>
      </c>
      <c r="D146" s="46">
        <v>2017</v>
      </c>
      <c r="E146" s="46"/>
      <c r="F146" s="46"/>
      <c r="G146" s="73">
        <v>29830</v>
      </c>
      <c r="H146" s="59">
        <f t="shared" si="1537"/>
        <v>20881</v>
      </c>
      <c r="I146" s="59">
        <f t="shared" si="1538"/>
        <v>0</v>
      </c>
      <c r="J146" s="59">
        <f t="shared" si="1539"/>
        <v>20881</v>
      </c>
      <c r="K146" s="59">
        <f t="shared" si="1540"/>
        <v>0</v>
      </c>
      <c r="L146" s="59">
        <f t="shared" si="1541"/>
        <v>0</v>
      </c>
      <c r="M146" s="59">
        <f t="shared" si="1542"/>
        <v>0</v>
      </c>
      <c r="N146" s="59">
        <v>3121</v>
      </c>
      <c r="O146" s="59">
        <v>777</v>
      </c>
      <c r="P146" s="59">
        <f t="shared" si="1553"/>
        <v>0</v>
      </c>
      <c r="Q146" s="59"/>
      <c r="R146" s="59"/>
      <c r="S146" s="59"/>
      <c r="T146" s="59"/>
      <c r="U146" s="59">
        <v>560</v>
      </c>
      <c r="V146" s="59">
        <f t="shared" si="1554"/>
        <v>1427.5647757444401</v>
      </c>
      <c r="W146" s="59">
        <v>12582.370000000001</v>
      </c>
      <c r="X146" s="62">
        <f t="shared" si="1555"/>
        <v>0.49639504148768299</v>
      </c>
      <c r="Y146" s="62">
        <f t="shared" si="1556"/>
        <v>1.63567130120606</v>
      </c>
      <c r="Z146" s="62">
        <f>Y146*0.5</f>
        <v>0.81783565060303198</v>
      </c>
      <c r="AA146" s="59">
        <f t="shared" si="1557"/>
        <v>298.00457624915799</v>
      </c>
      <c r="AB146" s="59">
        <v>14209.85</v>
      </c>
      <c r="AC146" s="59">
        <f t="shared" si="1558"/>
        <v>998.32572438704199</v>
      </c>
      <c r="AD146" s="59"/>
      <c r="AE146" s="59"/>
      <c r="AF146" s="59">
        <v>43</v>
      </c>
      <c r="AG146" s="59">
        <f t="shared" si="1543"/>
        <v>43</v>
      </c>
      <c r="AH146" s="59">
        <f t="shared" si="1544"/>
        <v>490.97651192324003</v>
      </c>
      <c r="AI146" s="59">
        <v>0.60310450956777695</v>
      </c>
      <c r="AJ146" s="59">
        <f t="shared" si="1545"/>
        <v>0.60310450956777695</v>
      </c>
      <c r="AK146" s="59">
        <f t="shared" si="1546"/>
        <v>278.72300543792602</v>
      </c>
      <c r="AL146" s="338" t="s">
        <v>1544</v>
      </c>
      <c r="AM146" s="59">
        <v>100</v>
      </c>
      <c r="AN146" s="59">
        <v>2</v>
      </c>
      <c r="AO146" s="59">
        <f t="shared" si="1559"/>
        <v>1200</v>
      </c>
      <c r="AP146" s="59"/>
      <c r="AQ146" s="62">
        <v>81.469999999999999</v>
      </c>
      <c r="AR146" s="62" t="s">
        <v>442</v>
      </c>
      <c r="AS146" s="59">
        <v>600</v>
      </c>
      <c r="AT146" s="59" t="s">
        <v>441</v>
      </c>
      <c r="AU146" s="59">
        <v>800</v>
      </c>
      <c r="AV146" s="62">
        <v>14.420502270797</v>
      </c>
      <c r="AW146" s="59">
        <f t="shared" si="1466"/>
        <v>368.41693478902602</v>
      </c>
      <c r="AX146" s="59">
        <v>2282.5305714998799</v>
      </c>
      <c r="AY146" s="59"/>
      <c r="AZ146" s="59">
        <f t="shared" si="1547"/>
        <v>6562.0115285308302</v>
      </c>
      <c r="BA146" s="59">
        <v>3351</v>
      </c>
      <c r="BB146" s="59">
        <f t="shared" si="1560"/>
        <v>3042.9142478745398</v>
      </c>
      <c r="BC146" s="59">
        <f t="shared" si="1561"/>
        <v>3519.09728065629</v>
      </c>
      <c r="BD146" s="43">
        <f t="shared" si="1458"/>
        <v>1.1564891396838901</v>
      </c>
      <c r="BG146" s="340"/>
    </row>
    <row r="147" s="5" customFormat="1" ht="17" customHeight="1">
      <c r="A147" s="65"/>
      <c r="B147" s="66" t="s">
        <v>190</v>
      </c>
      <c r="C147" s="67">
        <v>1</v>
      </c>
      <c r="D147" s="67"/>
      <c r="E147" s="67"/>
      <c r="F147" s="68"/>
      <c r="G147" s="69">
        <f t="shared" ref="G147:P147" si="1564">G148+G149</f>
        <v>351335</v>
      </c>
      <c r="H147" s="69">
        <f t="shared" si="1564"/>
        <v>288578.70000000001</v>
      </c>
      <c r="I147" s="69">
        <f t="shared" si="1564"/>
        <v>27989.400000000001</v>
      </c>
      <c r="J147" s="69">
        <f t="shared" si="1564"/>
        <v>0</v>
      </c>
      <c r="K147" s="69">
        <f t="shared" si="1564"/>
        <v>109024.8</v>
      </c>
      <c r="L147" s="69">
        <f t="shared" si="1564"/>
        <v>151564.5</v>
      </c>
      <c r="M147" s="69">
        <f t="shared" si="1564"/>
        <v>0</v>
      </c>
      <c r="N147" s="69">
        <f t="shared" si="1564"/>
        <v>59014</v>
      </c>
      <c r="O147" s="69">
        <f t="shared" si="1564"/>
        <v>72169</v>
      </c>
      <c r="P147" s="69">
        <f t="shared" si="1564"/>
        <v>10903</v>
      </c>
      <c r="Q147" s="59">
        <v>12897</v>
      </c>
      <c r="R147" s="69">
        <f t="shared" ref="R147:V147" si="1565">R148+R149</f>
        <v>3956</v>
      </c>
      <c r="S147" s="69">
        <f t="shared" si="1565"/>
        <v>0</v>
      </c>
      <c r="T147" s="69">
        <f t="shared" si="1565"/>
        <v>0</v>
      </c>
      <c r="U147" s="69">
        <f t="shared" si="1565"/>
        <v>9488</v>
      </c>
      <c r="V147" s="69">
        <f t="shared" si="1565"/>
        <v>26128.3152497101</v>
      </c>
      <c r="W147" s="69"/>
      <c r="X147" s="69">
        <f t="shared" ref="X147:AM147" si="1566">X148+X149</f>
        <v>2.6114116139693002</v>
      </c>
      <c r="Y147" s="69">
        <f t="shared" si="1566"/>
        <v>22.136207123262501</v>
      </c>
      <c r="Z147" s="69">
        <f t="shared" si="1566"/>
        <v>13.2730137990518</v>
      </c>
      <c r="AA147" s="69">
        <f t="shared" si="1566"/>
        <v>4836.4470903403799</v>
      </c>
      <c r="AB147" s="69">
        <f t="shared" si="1566"/>
        <v>36442.120000000003</v>
      </c>
      <c r="AC147" s="69">
        <f t="shared" si="1566"/>
        <v>2560.2737430162501</v>
      </c>
      <c r="AD147" s="69">
        <f t="shared" si="1566"/>
        <v>0</v>
      </c>
      <c r="AE147" s="69">
        <f t="shared" si="1566"/>
        <v>0</v>
      </c>
      <c r="AF147" s="69">
        <f t="shared" si="1566"/>
        <v>149</v>
      </c>
      <c r="AG147" s="59">
        <f t="shared" si="1566"/>
        <v>129.5</v>
      </c>
      <c r="AH147" s="59">
        <f t="shared" si="1566"/>
        <v>1478.63856497813</v>
      </c>
      <c r="AI147" s="69">
        <f t="shared" si="1566"/>
        <v>2.2944220469844101</v>
      </c>
      <c r="AJ147" s="59">
        <f t="shared" si="1566"/>
        <v>2.0289087733754698</v>
      </c>
      <c r="AK147" s="59">
        <f t="shared" si="1566"/>
        <v>937.65432375868397</v>
      </c>
      <c r="AL147" s="69">
        <f t="shared" si="1566"/>
        <v>0</v>
      </c>
      <c r="AM147" s="69">
        <f t="shared" si="1566"/>
        <v>0</v>
      </c>
      <c r="AN147" s="69">
        <v>7</v>
      </c>
      <c r="AO147" s="69">
        <f t="shared" ref="AO147:AR147" si="1567">AO148+AO149</f>
        <v>4200</v>
      </c>
      <c r="AP147" s="69">
        <f t="shared" si="1567"/>
        <v>0</v>
      </c>
      <c r="AQ147" s="69">
        <f t="shared" si="1567"/>
        <v>372.31</v>
      </c>
      <c r="AR147" s="69">
        <f t="shared" si="1567"/>
        <v>0</v>
      </c>
      <c r="AS147" s="69">
        <v>300</v>
      </c>
      <c r="AT147" s="69"/>
      <c r="AU147" s="69">
        <v>3500</v>
      </c>
      <c r="AV147" s="71">
        <f t="shared" ref="AV147:BC147" si="1568">AV148+AV149</f>
        <v>53.069857363195197</v>
      </c>
      <c r="AW147" s="71">
        <v>1355.8358656503699</v>
      </c>
      <c r="AX147" s="69">
        <f t="shared" si="1568"/>
        <v>3979.8537786054599</v>
      </c>
      <c r="AY147" s="71">
        <f t="shared" si="1568"/>
        <v>0</v>
      </c>
      <c r="AZ147" s="71">
        <f t="shared" si="1568"/>
        <v>45297.164837454002</v>
      </c>
      <c r="BA147" s="71">
        <f t="shared" si="1568"/>
        <v>47629</v>
      </c>
      <c r="BB147" s="69">
        <f t="shared" si="1568"/>
        <v>43250.063477176001</v>
      </c>
      <c r="BC147" s="69">
        <f t="shared" si="1568"/>
        <v>2047.1013602779799</v>
      </c>
      <c r="BD147" s="336">
        <f t="shared" si="1458"/>
        <v>4.73317538911424e-002</v>
      </c>
      <c r="BG147" s="340"/>
    </row>
    <row r="148" s="5" customFormat="1" ht="17" customHeight="1">
      <c r="A148" s="44"/>
      <c r="B148" s="72" t="s">
        <v>191</v>
      </c>
      <c r="C148" s="46">
        <v>2</v>
      </c>
      <c r="D148" s="46"/>
      <c r="E148" s="46"/>
      <c r="F148" s="46"/>
      <c r="G148" s="73"/>
      <c r="H148" s="59">
        <f t="shared" ref="H148:H154" si="1569">SUM(I148:M148)</f>
        <v>0</v>
      </c>
      <c r="I148" s="59">
        <f t="shared" ref="I148:I154" si="1570">IF(D148="",G148*0.6,0)</f>
        <v>0</v>
      </c>
      <c r="J148" s="59">
        <f t="shared" ref="J148:J154" si="1571">IF(D148=2017,G148*0.7,0)</f>
        <v>0</v>
      </c>
      <c r="K148" s="59">
        <f t="shared" ref="K148:K154" si="1572">IF(D148=2018,G148*0.8,0)</f>
        <v>0</v>
      </c>
      <c r="L148" s="59">
        <f t="shared" ref="L148:L154" si="1573">IF(D148=2019,G148*0.9,0)</f>
        <v>0</v>
      </c>
      <c r="M148" s="59">
        <f t="shared" ref="M148:M154" si="1574">IF(D148=2020,G148*1,0)</f>
        <v>0</v>
      </c>
      <c r="N148" s="59"/>
      <c r="O148" s="59"/>
      <c r="P148" s="59">
        <f>L148*0.4+M148*0.6+N148*0.8+O148*1</f>
        <v>0</v>
      </c>
      <c r="Q148" s="59"/>
      <c r="R148" s="59"/>
      <c r="S148" s="59"/>
      <c r="T148" s="59"/>
      <c r="U148" s="59"/>
      <c r="V148" s="59">
        <f>H148/$H$9*134866+N148/$N$9*202299+P148/$P$9*100000+U148/$U$9*34867</f>
        <v>0</v>
      </c>
      <c r="W148" s="59"/>
      <c r="X148" s="62"/>
      <c r="Y148" s="62"/>
      <c r="Z148" s="62"/>
      <c r="AA148" s="59"/>
      <c r="AB148" s="59"/>
      <c r="AC148" s="59"/>
      <c r="AD148" s="59"/>
      <c r="AE148" s="59"/>
      <c r="AF148" s="59"/>
      <c r="AG148" s="59">
        <f t="shared" ref="AG148:AG151" si="1575">AF148</f>
        <v>0</v>
      </c>
      <c r="AH148" s="59">
        <f t="shared" ref="AH148:AH154" si="1576">AG148/$AG$9*40459.89</f>
        <v>0</v>
      </c>
      <c r="AI148" s="59"/>
      <c r="AJ148" s="59">
        <f t="shared" ref="AJ148:AJ151" si="1577">AI148</f>
        <v>0</v>
      </c>
      <c r="AK148" s="59">
        <f t="shared" ref="AK148:AK154" si="1578">AJ148/$AJ$9*40459.89</f>
        <v>0</v>
      </c>
      <c r="AL148" s="59"/>
      <c r="AM148" s="59"/>
      <c r="AN148" s="59"/>
      <c r="AO148" s="59"/>
      <c r="AP148" s="59"/>
      <c r="AQ148" s="62"/>
      <c r="AR148" s="62"/>
      <c r="AS148" s="59"/>
      <c r="AT148" s="59"/>
      <c r="AU148" s="59"/>
      <c r="AV148" s="62"/>
      <c r="AW148" s="59">
        <v>0</v>
      </c>
      <c r="AX148" s="59"/>
      <c r="AY148" s="59"/>
      <c r="AZ148" s="59">
        <f t="shared" ref="AZ148:AZ154" si="1579">V148+AA148+AC148+AE148+AH148+AK148+AM148+AO148+AP148+AS148+AU148+AW148+AY148</f>
        <v>0</v>
      </c>
      <c r="BA148" s="73"/>
      <c r="BB148" s="170"/>
      <c r="BC148" s="50"/>
      <c r="BD148" s="43"/>
      <c r="BG148" s="340"/>
    </row>
    <row r="149" s="5" customFormat="1" ht="17" customHeight="1">
      <c r="A149" s="75"/>
      <c r="B149" s="76" t="s">
        <v>76</v>
      </c>
      <c r="C149" s="77">
        <v>3</v>
      </c>
      <c r="D149" s="77"/>
      <c r="E149" s="77"/>
      <c r="F149" s="78"/>
      <c r="G149" s="79">
        <f t="shared" ref="G149:P149" si="1580">SUM(G150:G154)</f>
        <v>351335</v>
      </c>
      <c r="H149" s="79">
        <f t="shared" si="1580"/>
        <v>288578.70000000001</v>
      </c>
      <c r="I149" s="79">
        <f t="shared" si="1580"/>
        <v>27989.400000000001</v>
      </c>
      <c r="J149" s="79">
        <f t="shared" si="1580"/>
        <v>0</v>
      </c>
      <c r="K149" s="79">
        <f t="shared" si="1580"/>
        <v>109024.8</v>
      </c>
      <c r="L149" s="79">
        <f t="shared" si="1580"/>
        <v>151564.5</v>
      </c>
      <c r="M149" s="79">
        <f t="shared" si="1580"/>
        <v>0</v>
      </c>
      <c r="N149" s="79">
        <f t="shared" si="1580"/>
        <v>59014</v>
      </c>
      <c r="O149" s="79">
        <f t="shared" si="1580"/>
        <v>72169</v>
      </c>
      <c r="P149" s="79">
        <f t="shared" si="1580"/>
        <v>10903</v>
      </c>
      <c r="Q149" s="59">
        <v>12897</v>
      </c>
      <c r="R149" s="79">
        <f t="shared" ref="R149:V149" si="1581">SUM(R150:R154)</f>
        <v>3956</v>
      </c>
      <c r="S149" s="79">
        <f t="shared" si="1581"/>
        <v>0</v>
      </c>
      <c r="T149" s="79">
        <f t="shared" si="1581"/>
        <v>0</v>
      </c>
      <c r="U149" s="79">
        <f t="shared" si="1581"/>
        <v>9488</v>
      </c>
      <c r="V149" s="79">
        <f t="shared" si="1581"/>
        <v>26128.3152497101</v>
      </c>
      <c r="W149" s="79"/>
      <c r="X149" s="79">
        <f t="shared" ref="X149:AM149" si="1582">SUM(X150:X154)</f>
        <v>2.6114116139693002</v>
      </c>
      <c r="Y149" s="79">
        <f t="shared" si="1582"/>
        <v>22.136207123262501</v>
      </c>
      <c r="Z149" s="79">
        <f t="shared" si="1582"/>
        <v>13.2730137990518</v>
      </c>
      <c r="AA149" s="79">
        <f t="shared" si="1582"/>
        <v>4836.4470903403799</v>
      </c>
      <c r="AB149" s="79">
        <f t="shared" si="1582"/>
        <v>36442.120000000003</v>
      </c>
      <c r="AC149" s="79">
        <f t="shared" si="1582"/>
        <v>2560.2737430162501</v>
      </c>
      <c r="AD149" s="79">
        <f t="shared" si="1582"/>
        <v>0</v>
      </c>
      <c r="AE149" s="79">
        <f t="shared" si="1582"/>
        <v>0</v>
      </c>
      <c r="AF149" s="79">
        <f t="shared" si="1582"/>
        <v>149</v>
      </c>
      <c r="AG149" s="59">
        <f t="shared" si="1582"/>
        <v>129.5</v>
      </c>
      <c r="AH149" s="59">
        <f t="shared" si="1582"/>
        <v>1478.63856497813</v>
      </c>
      <c r="AI149" s="79">
        <f t="shared" si="1582"/>
        <v>2.2944220469844101</v>
      </c>
      <c r="AJ149" s="59">
        <f t="shared" si="1582"/>
        <v>2.0289087733754698</v>
      </c>
      <c r="AK149" s="59">
        <f t="shared" si="1582"/>
        <v>937.65432375868397</v>
      </c>
      <c r="AL149" s="79">
        <f t="shared" si="1582"/>
        <v>0</v>
      </c>
      <c r="AM149" s="79">
        <f t="shared" si="1582"/>
        <v>0</v>
      </c>
      <c r="AN149" s="79">
        <v>7</v>
      </c>
      <c r="AO149" s="79">
        <f t="shared" ref="AO149:AR149" si="1583">SUM(AO150:AO154)</f>
        <v>4200</v>
      </c>
      <c r="AP149" s="79">
        <f t="shared" si="1583"/>
        <v>0</v>
      </c>
      <c r="AQ149" s="79">
        <f t="shared" si="1583"/>
        <v>372.31</v>
      </c>
      <c r="AR149" s="79">
        <f t="shared" si="1583"/>
        <v>0</v>
      </c>
      <c r="AS149" s="79">
        <v>300</v>
      </c>
      <c r="AT149" s="79"/>
      <c r="AU149" s="79">
        <v>3500</v>
      </c>
      <c r="AV149" s="81">
        <f t="shared" ref="AV149:BC149" si="1584">SUM(AV150:AV154)</f>
        <v>53.069857363195197</v>
      </c>
      <c r="AW149" s="81">
        <v>1355.8358656503699</v>
      </c>
      <c r="AX149" s="79">
        <f t="shared" si="1584"/>
        <v>3979.8537786054599</v>
      </c>
      <c r="AY149" s="81">
        <f t="shared" si="1584"/>
        <v>0</v>
      </c>
      <c r="AZ149" s="81">
        <f t="shared" si="1584"/>
        <v>45297.164837454002</v>
      </c>
      <c r="BA149" s="81">
        <f t="shared" si="1584"/>
        <v>47629</v>
      </c>
      <c r="BB149" s="79">
        <f t="shared" si="1584"/>
        <v>43250.063477176001</v>
      </c>
      <c r="BC149" s="79">
        <f t="shared" si="1584"/>
        <v>2047.1013602779799</v>
      </c>
      <c r="BD149" s="337">
        <f t="shared" si="1458"/>
        <v>4.73317538911424e-002</v>
      </c>
      <c r="BG149" s="340"/>
    </row>
    <row r="150" ht="17" customHeight="1">
      <c r="A150" s="46">
        <v>100</v>
      </c>
      <c r="B150" s="82" t="s">
        <v>192</v>
      </c>
      <c r="C150" s="46" t="s">
        <v>90</v>
      </c>
      <c r="D150" s="46">
        <v>2019</v>
      </c>
      <c r="E150" s="46"/>
      <c r="F150" s="46"/>
      <c r="G150" s="73">
        <v>86550</v>
      </c>
      <c r="H150" s="59">
        <f t="shared" si="1569"/>
        <v>77895</v>
      </c>
      <c r="I150" s="59">
        <f t="shared" si="1570"/>
        <v>0</v>
      </c>
      <c r="J150" s="59">
        <f t="shared" si="1571"/>
        <v>0</v>
      </c>
      <c r="K150" s="59">
        <f t="shared" si="1572"/>
        <v>0</v>
      </c>
      <c r="L150" s="59">
        <f t="shared" si="1573"/>
        <v>77895</v>
      </c>
      <c r="M150" s="59">
        <f t="shared" si="1574"/>
        <v>0</v>
      </c>
      <c r="N150" s="59">
        <v>18597</v>
      </c>
      <c r="O150" s="59">
        <v>18864</v>
      </c>
      <c r="P150" s="59">
        <f t="shared" ref="P150:P154" si="1585">Q150*0.6+R150*0.8+S150*1+T150*1.25</f>
        <v>3751.1999999999998</v>
      </c>
      <c r="Q150" s="59">
        <v>6252</v>
      </c>
      <c r="R150" s="59"/>
      <c r="S150" s="59"/>
      <c r="T150" s="59"/>
      <c r="U150" s="59">
        <v>1694</v>
      </c>
      <c r="V150" s="59">
        <f t="shared" ref="V150:V154" si="1586">H150/$H$9*(134866+26973)+N150/$N$9*202299+P150/$P$9*100000+U150/$U$9*34867</f>
        <v>7627.58906028399</v>
      </c>
      <c r="W150" s="59">
        <v>11842.049999999999</v>
      </c>
      <c r="X150" s="62">
        <f t="shared" ref="X150:X154" si="1587">($W$64-W150)/($W$64-$W$44)</f>
        <v>0.61585891283229699</v>
      </c>
      <c r="Y150" s="62">
        <f t="shared" ref="Y150:Y154" si="1588">(G150+N150)*X150/10000</f>
        <v>6.47557171075775</v>
      </c>
      <c r="Z150" s="62">
        <f t="shared" ref="Z150:Z154" si="1589">Y150*0.5</f>
        <v>3.2377858553788799</v>
      </c>
      <c r="AA150" s="59">
        <f t="shared" ref="AA150:AA154" si="1590">Z150/$Z$9*(1348663*0.1+30000)</f>
        <v>1179.7908309649399</v>
      </c>
      <c r="AB150" s="59">
        <v>4215.2299999999996</v>
      </c>
      <c r="AC150" s="59">
        <f t="shared" ref="AC150:AC154" si="1591">(AB150/$AB$9*1348663*0.037)</f>
        <v>296.14475474463097</v>
      </c>
      <c r="AD150" s="59"/>
      <c r="AE150" s="59"/>
      <c r="AF150" s="59">
        <v>22</v>
      </c>
      <c r="AG150" s="59">
        <f t="shared" si="1575"/>
        <v>22</v>
      </c>
      <c r="AH150" s="59">
        <f t="shared" si="1576"/>
        <v>251.19728517003</v>
      </c>
      <c r="AI150" s="59">
        <v>0.47147776613265502</v>
      </c>
      <c r="AJ150" s="59">
        <f t="shared" si="1577"/>
        <v>0.47147776613265502</v>
      </c>
      <c r="AK150" s="59">
        <f t="shared" si="1578"/>
        <v>217.89208651056401</v>
      </c>
      <c r="AL150" s="338"/>
      <c r="AM150" s="59"/>
      <c r="AN150" s="59">
        <v>1</v>
      </c>
      <c r="AO150" s="59">
        <f t="shared" ref="AO150:AO154" si="1592">AN150*600</f>
        <v>600</v>
      </c>
      <c r="AP150" s="59"/>
      <c r="AQ150" s="62">
        <v>67.629999999999995</v>
      </c>
      <c r="AR150" s="62" t="s">
        <v>440</v>
      </c>
      <c r="AS150" s="59"/>
      <c r="AT150" s="59" t="s">
        <v>441</v>
      </c>
      <c r="AU150" s="59">
        <v>800</v>
      </c>
      <c r="AV150" s="62">
        <v>8.5299294676366699</v>
      </c>
      <c r="AW150" s="59">
        <f t="shared" si="1466"/>
        <v>217.92378721768401</v>
      </c>
      <c r="AX150" s="59">
        <v>0</v>
      </c>
      <c r="AY150" s="59"/>
      <c r="AZ150" s="59">
        <f t="shared" si="1579"/>
        <v>11190.537804891799</v>
      </c>
      <c r="BA150" s="59">
        <v>10180</v>
      </c>
      <c r="BB150" s="59">
        <f t="shared" ref="BB150:BB154" si="1593">BA150/$BA$9*1348663</f>
        <v>9244.0665602395893</v>
      </c>
      <c r="BC150" s="59">
        <f t="shared" ref="BC150:BC154" si="1594">AZ150-BB150</f>
        <v>1946.4712446522401</v>
      </c>
      <c r="BD150" s="43">
        <f t="shared" si="1458"/>
        <v>0.21056439089527701</v>
      </c>
      <c r="BG150" s="340"/>
    </row>
    <row r="151" ht="17" customHeight="1">
      <c r="A151" s="46">
        <v>101</v>
      </c>
      <c r="B151" s="82" t="s">
        <v>193</v>
      </c>
      <c r="C151" s="46" t="s">
        <v>90</v>
      </c>
      <c r="D151" s="46">
        <v>2019</v>
      </c>
      <c r="E151" s="46" t="s">
        <v>91</v>
      </c>
      <c r="F151" s="46"/>
      <c r="G151" s="73">
        <v>81855</v>
      </c>
      <c r="H151" s="59">
        <f t="shared" si="1569"/>
        <v>73669.5</v>
      </c>
      <c r="I151" s="59">
        <f t="shared" si="1570"/>
        <v>0</v>
      </c>
      <c r="J151" s="59">
        <f t="shared" si="1571"/>
        <v>0</v>
      </c>
      <c r="K151" s="59">
        <f t="shared" si="1572"/>
        <v>0</v>
      </c>
      <c r="L151" s="59">
        <f t="shared" si="1573"/>
        <v>73669.5</v>
      </c>
      <c r="M151" s="59">
        <f t="shared" si="1574"/>
        <v>0</v>
      </c>
      <c r="N151" s="59">
        <v>10064</v>
      </c>
      <c r="O151" s="59">
        <v>21939</v>
      </c>
      <c r="P151" s="59">
        <f t="shared" si="1585"/>
        <v>6669.3999999999996</v>
      </c>
      <c r="Q151" s="59">
        <v>5841</v>
      </c>
      <c r="R151" s="59">
        <v>3956</v>
      </c>
      <c r="S151" s="59"/>
      <c r="T151" s="59"/>
      <c r="U151" s="59">
        <v>1730</v>
      </c>
      <c r="V151" s="59">
        <f t="shared" si="1586"/>
        <v>6235.0231834340702</v>
      </c>
      <c r="W151" s="59">
        <v>11840.129999999999</v>
      </c>
      <c r="X151" s="62">
        <f t="shared" si="1587"/>
        <v>0.61616873916818105</v>
      </c>
      <c r="Y151" s="62">
        <f t="shared" si="1588"/>
        <v>5.6637614335600004</v>
      </c>
      <c r="Z151" s="62">
        <f>Y151*1</f>
        <v>5.6637614335600004</v>
      </c>
      <c r="AA151" s="59">
        <f t="shared" si="1590"/>
        <v>2063.7726231912902</v>
      </c>
      <c r="AB151" s="59">
        <v>16451.290000000001</v>
      </c>
      <c r="AC151" s="59">
        <f t="shared" si="1591"/>
        <v>1155.8000968589599</v>
      </c>
      <c r="AD151" s="59"/>
      <c r="AE151" s="59"/>
      <c r="AF151" s="59">
        <v>34</v>
      </c>
      <c r="AG151" s="59">
        <f t="shared" si="1575"/>
        <v>34</v>
      </c>
      <c r="AH151" s="59">
        <f t="shared" si="1576"/>
        <v>388.21398617186401</v>
      </c>
      <c r="AI151" s="59">
        <v>0.63954967261764595</v>
      </c>
      <c r="AJ151" s="59">
        <f t="shared" si="1577"/>
        <v>0.63954967261764595</v>
      </c>
      <c r="AK151" s="59">
        <f t="shared" si="1578"/>
        <v>295.56603217339898</v>
      </c>
      <c r="AL151" s="338"/>
      <c r="AM151" s="59"/>
      <c r="AN151" s="59">
        <v>2</v>
      </c>
      <c r="AO151" s="59">
        <f t="shared" si="1592"/>
        <v>1200</v>
      </c>
      <c r="AP151" s="59"/>
      <c r="AQ151" s="62">
        <v>61.460000000000001</v>
      </c>
      <c r="AR151" s="62" t="s">
        <v>440</v>
      </c>
      <c r="AS151" s="59"/>
      <c r="AT151" s="59" t="s">
        <v>441</v>
      </c>
      <c r="AU151" s="59">
        <v>800</v>
      </c>
      <c r="AV151" s="62">
        <v>8.2535058895751092</v>
      </c>
      <c r="AW151" s="59">
        <f t="shared" si="1466"/>
        <v>210.861680404727</v>
      </c>
      <c r="AX151" s="59">
        <v>11.2448822341821</v>
      </c>
      <c r="AY151" s="59"/>
      <c r="AZ151" s="59">
        <f t="shared" si="1579"/>
        <v>12349.2376022343</v>
      </c>
      <c r="BA151" s="59">
        <v>15020</v>
      </c>
      <c r="BB151" s="59">
        <f t="shared" si="1593"/>
        <v>13639.0844533201</v>
      </c>
      <c r="BC151" s="59">
        <f t="shared" si="1594"/>
        <v>-1289.8468510857899</v>
      </c>
      <c r="BD151" s="43">
        <f t="shared" si="1458"/>
        <v>-9.4569899871234098e-002</v>
      </c>
      <c r="BG151" s="340"/>
    </row>
    <row r="152" ht="17" customHeight="1">
      <c r="A152" s="46">
        <v>102</v>
      </c>
      <c r="B152" s="82" t="s">
        <v>194</v>
      </c>
      <c r="C152" s="46" t="s">
        <v>78</v>
      </c>
      <c r="D152" s="46"/>
      <c r="E152" s="46"/>
      <c r="F152" s="46" t="s">
        <v>146</v>
      </c>
      <c r="G152" s="73">
        <v>46649</v>
      </c>
      <c r="H152" s="59">
        <f t="shared" si="1569"/>
        <v>27989.400000000001</v>
      </c>
      <c r="I152" s="59">
        <f t="shared" si="1570"/>
        <v>27989.400000000001</v>
      </c>
      <c r="J152" s="59">
        <f t="shared" si="1571"/>
        <v>0</v>
      </c>
      <c r="K152" s="59">
        <f t="shared" si="1572"/>
        <v>0</v>
      </c>
      <c r="L152" s="59">
        <f t="shared" si="1573"/>
        <v>0</v>
      </c>
      <c r="M152" s="59">
        <f t="shared" si="1574"/>
        <v>0</v>
      </c>
      <c r="N152" s="59">
        <v>10751</v>
      </c>
      <c r="O152" s="59">
        <v>4204</v>
      </c>
      <c r="P152" s="59">
        <f t="shared" si="1585"/>
        <v>0</v>
      </c>
      <c r="Q152" s="59"/>
      <c r="R152" s="59"/>
      <c r="S152" s="59"/>
      <c r="T152" s="59"/>
      <c r="U152" s="59">
        <v>1680</v>
      </c>
      <c r="V152" s="59">
        <f t="shared" si="1586"/>
        <v>3614.6656568871599</v>
      </c>
      <c r="W152" s="59">
        <v>13402.24</v>
      </c>
      <c r="X152" s="62">
        <f t="shared" si="1587"/>
        <v>0.36409435502870802</v>
      </c>
      <c r="Y152" s="62">
        <f t="shared" si="1588"/>
        <v>2.0899015978647801</v>
      </c>
      <c r="Z152" s="62">
        <f>Y152*0.2</f>
        <v>0.41798031957295601</v>
      </c>
      <c r="AA152" s="59">
        <f t="shared" si="1590"/>
        <v>152.30449775939999</v>
      </c>
      <c r="AB152" s="59">
        <v>2678.9000000000001</v>
      </c>
      <c r="AC152" s="59">
        <f t="shared" si="1591"/>
        <v>188.20851613918799</v>
      </c>
      <c r="AD152" s="59"/>
      <c r="AE152" s="59"/>
      <c r="AF152" s="59">
        <v>39</v>
      </c>
      <c r="AG152" s="59">
        <f>AF152*0.5</f>
        <v>19.5</v>
      </c>
      <c r="AH152" s="59">
        <f t="shared" si="1576"/>
        <v>222.652139127981</v>
      </c>
      <c r="AI152" s="59">
        <v>0.531026547217884</v>
      </c>
      <c r="AJ152" s="59">
        <f>AI152*0.5</f>
        <v>0.265513273608942</v>
      </c>
      <c r="AK152" s="59">
        <f t="shared" si="1578"/>
        <v>122.706191762657</v>
      </c>
      <c r="AL152" s="338"/>
      <c r="AM152" s="59"/>
      <c r="AN152" s="59">
        <v>2</v>
      </c>
      <c r="AO152" s="59">
        <f t="shared" si="1592"/>
        <v>1200</v>
      </c>
      <c r="AP152" s="59"/>
      <c r="AQ152" s="62">
        <v>88.109999999999999</v>
      </c>
      <c r="AR152" s="62" t="s">
        <v>442</v>
      </c>
      <c r="AS152" s="59">
        <v>300</v>
      </c>
      <c r="AT152" s="59" t="s">
        <v>441</v>
      </c>
      <c r="AU152" s="59">
        <v>300</v>
      </c>
      <c r="AV152" s="62">
        <v>13.4941457897409</v>
      </c>
      <c r="AW152" s="59">
        <f t="shared" si="1466"/>
        <v>344.75025460939202</v>
      </c>
      <c r="AX152" s="59">
        <v>141.64982474662301</v>
      </c>
      <c r="AY152" s="59"/>
      <c r="AZ152" s="59">
        <f t="shared" si="1579"/>
        <v>6445.2872562857801</v>
      </c>
      <c r="BA152" s="59">
        <v>6294</v>
      </c>
      <c r="BB152" s="59">
        <f t="shared" si="1593"/>
        <v>5715.3393841009802</v>
      </c>
      <c r="BC152" s="59">
        <f t="shared" si="1594"/>
        <v>729.94787218480496</v>
      </c>
      <c r="BD152" s="43">
        <f t="shared" si="1458"/>
        <v>0.12771732755107901</v>
      </c>
      <c r="BG152" s="340"/>
    </row>
    <row r="153" ht="17" customHeight="1">
      <c r="A153" s="46">
        <v>103</v>
      </c>
      <c r="B153" s="82" t="s">
        <v>196</v>
      </c>
      <c r="C153" s="46" t="s">
        <v>90</v>
      </c>
      <c r="D153" s="46">
        <v>2018</v>
      </c>
      <c r="E153" s="46"/>
      <c r="F153" s="46"/>
      <c r="G153" s="73">
        <v>80286</v>
      </c>
      <c r="H153" s="59">
        <f t="shared" si="1569"/>
        <v>64228.800000000003</v>
      </c>
      <c r="I153" s="59">
        <f t="shared" si="1570"/>
        <v>0</v>
      </c>
      <c r="J153" s="59">
        <f t="shared" si="1571"/>
        <v>0</v>
      </c>
      <c r="K153" s="59">
        <f t="shared" si="1572"/>
        <v>64228.800000000003</v>
      </c>
      <c r="L153" s="59">
        <f t="shared" si="1573"/>
        <v>0</v>
      </c>
      <c r="M153" s="59">
        <f t="shared" si="1574"/>
        <v>0</v>
      </c>
      <c r="N153" s="59">
        <v>9732</v>
      </c>
      <c r="O153" s="59">
        <v>13532</v>
      </c>
      <c r="P153" s="59">
        <f t="shared" si="1585"/>
        <v>0</v>
      </c>
      <c r="Q153" s="59"/>
      <c r="R153" s="59"/>
      <c r="S153" s="59"/>
      <c r="T153" s="59"/>
      <c r="U153" s="59">
        <v>2678</v>
      </c>
      <c r="V153" s="59">
        <f t="shared" si="1586"/>
        <v>4646.7780582257901</v>
      </c>
      <c r="W153" s="59">
        <v>12528.940000000001</v>
      </c>
      <c r="X153" s="62">
        <f t="shared" si="1587"/>
        <v>0.50501692749095495</v>
      </c>
      <c r="Y153" s="62">
        <f t="shared" si="1588"/>
        <v>4.5460613778880798</v>
      </c>
      <c r="Z153" s="62">
        <f t="shared" si="1589"/>
        <v>2.2730306889440399</v>
      </c>
      <c r="AA153" s="59">
        <f t="shared" si="1590"/>
        <v>828.25143017504695</v>
      </c>
      <c r="AB153" s="59">
        <v>7722.8000000000002</v>
      </c>
      <c r="AC153" s="59">
        <f t="shared" si="1591"/>
        <v>542.57222309146505</v>
      </c>
      <c r="AD153" s="59"/>
      <c r="AE153" s="59"/>
      <c r="AF153" s="59">
        <v>27</v>
      </c>
      <c r="AG153" s="59">
        <f t="shared" ref="AG153:AG156" si="1595">AF153</f>
        <v>27</v>
      </c>
      <c r="AH153" s="59">
        <f t="shared" si="1576"/>
        <v>308.28757725412697</v>
      </c>
      <c r="AI153" s="59">
        <v>0.38227159799371901</v>
      </c>
      <c r="AJ153" s="59">
        <f t="shared" ref="AJ153:AJ156" si="1596">AI153</f>
        <v>0.38227159799371901</v>
      </c>
      <c r="AK153" s="59">
        <f t="shared" si="1578"/>
        <v>176.66571381256401</v>
      </c>
      <c r="AL153" s="338"/>
      <c r="AM153" s="59"/>
      <c r="AN153" s="59">
        <v>1</v>
      </c>
      <c r="AO153" s="59">
        <f t="shared" si="1592"/>
        <v>600</v>
      </c>
      <c r="AP153" s="59"/>
      <c r="AQ153" s="62">
        <v>77.459999999999994</v>
      </c>
      <c r="AR153" s="62" t="s">
        <v>440</v>
      </c>
      <c r="AS153" s="59"/>
      <c r="AT153" s="59" t="s">
        <v>441</v>
      </c>
      <c r="AU153" s="59">
        <v>800</v>
      </c>
      <c r="AV153" s="62">
        <v>14.307849197368199</v>
      </c>
      <c r="AW153" s="59">
        <f t="shared" si="1466"/>
        <v>365.53885889209698</v>
      </c>
      <c r="AX153" s="59">
        <v>2452.5829797853798</v>
      </c>
      <c r="AY153" s="59"/>
      <c r="AZ153" s="59">
        <f t="shared" si="1579"/>
        <v>8268.0938614510906</v>
      </c>
      <c r="BA153" s="59">
        <v>7718</v>
      </c>
      <c r="BB153" s="59">
        <f t="shared" si="1593"/>
        <v>7008.4190286767298</v>
      </c>
      <c r="BC153" s="59">
        <f t="shared" si="1594"/>
        <v>1259.6748327743601</v>
      </c>
      <c r="BD153" s="43">
        <f t="shared" si="1458"/>
        <v>0.179737374095367</v>
      </c>
      <c r="BG153" s="340"/>
    </row>
    <row r="154" s="5" customFormat="1" ht="17" customHeight="1">
      <c r="A154" s="46">
        <v>104</v>
      </c>
      <c r="B154" s="82" t="s">
        <v>195</v>
      </c>
      <c r="C154" s="46" t="s">
        <v>90</v>
      </c>
      <c r="D154" s="46">
        <v>2018</v>
      </c>
      <c r="E154" s="46"/>
      <c r="F154" s="46" t="s">
        <v>146</v>
      </c>
      <c r="G154" s="73">
        <v>55995</v>
      </c>
      <c r="H154" s="59">
        <f t="shared" si="1569"/>
        <v>44796</v>
      </c>
      <c r="I154" s="59">
        <f t="shared" si="1570"/>
        <v>0</v>
      </c>
      <c r="J154" s="59">
        <f t="shared" si="1571"/>
        <v>0</v>
      </c>
      <c r="K154" s="59">
        <f t="shared" si="1572"/>
        <v>44796</v>
      </c>
      <c r="L154" s="59">
        <f t="shared" si="1573"/>
        <v>0</v>
      </c>
      <c r="M154" s="59">
        <f t="shared" si="1574"/>
        <v>0</v>
      </c>
      <c r="N154" s="59">
        <v>9870</v>
      </c>
      <c r="O154" s="59">
        <v>13630</v>
      </c>
      <c r="P154" s="59">
        <f t="shared" si="1585"/>
        <v>482.39999999999998</v>
      </c>
      <c r="Q154" s="59">
        <v>804</v>
      </c>
      <c r="R154" s="59"/>
      <c r="S154" s="59"/>
      <c r="T154" s="59"/>
      <c r="U154" s="59">
        <v>1706</v>
      </c>
      <c r="V154" s="59">
        <f t="shared" si="1586"/>
        <v>4004.2592908791098</v>
      </c>
      <c r="W154" s="59">
        <v>12496.370000000001</v>
      </c>
      <c r="X154" s="62">
        <f t="shared" si="1587"/>
        <v>0.510272679449155</v>
      </c>
      <c r="Y154" s="62">
        <f t="shared" si="1588"/>
        <v>3.3609110031918599</v>
      </c>
      <c r="Z154" s="62">
        <f t="shared" si="1589"/>
        <v>1.6804555015959299</v>
      </c>
      <c r="AA154" s="59">
        <f t="shared" si="1590"/>
        <v>612.32770824970498</v>
      </c>
      <c r="AB154" s="59">
        <v>5373.8999999999996</v>
      </c>
      <c r="AC154" s="59">
        <f t="shared" si="1591"/>
        <v>377.54815218200901</v>
      </c>
      <c r="AD154" s="59"/>
      <c r="AE154" s="59"/>
      <c r="AF154" s="59">
        <v>27</v>
      </c>
      <c r="AG154" s="59">
        <f t="shared" si="1595"/>
        <v>27</v>
      </c>
      <c r="AH154" s="59">
        <f t="shared" si="1576"/>
        <v>308.28757725412697</v>
      </c>
      <c r="AI154" s="59">
        <v>0.270096463022508</v>
      </c>
      <c r="AJ154" s="59">
        <f t="shared" si="1596"/>
        <v>0.270096463022508</v>
      </c>
      <c r="AK154" s="59">
        <f t="shared" si="1578"/>
        <v>124.8242994995</v>
      </c>
      <c r="AL154" s="338"/>
      <c r="AM154" s="59"/>
      <c r="AN154" s="59">
        <v>1</v>
      </c>
      <c r="AO154" s="59">
        <f t="shared" si="1592"/>
        <v>600</v>
      </c>
      <c r="AP154" s="59"/>
      <c r="AQ154" s="62">
        <v>77.650000000000006</v>
      </c>
      <c r="AR154" s="62" t="s">
        <v>440</v>
      </c>
      <c r="AS154" s="59"/>
      <c r="AT154" s="59" t="s">
        <v>441</v>
      </c>
      <c r="AU154" s="59">
        <v>800</v>
      </c>
      <c r="AV154" s="62">
        <v>8.4844270188743103</v>
      </c>
      <c r="AW154" s="59">
        <f t="shared" si="1466"/>
        <v>216.761284526472</v>
      </c>
      <c r="AX154" s="59">
        <v>1374.37609183928</v>
      </c>
      <c r="AY154" s="59"/>
      <c r="AZ154" s="59">
        <f t="shared" si="1579"/>
        <v>7044.0083125909296</v>
      </c>
      <c r="BA154" s="59">
        <v>8417</v>
      </c>
      <c r="BB154" s="59">
        <f t="shared" si="1593"/>
        <v>7643.1540508385697</v>
      </c>
      <c r="BC154" s="59">
        <f t="shared" si="1594"/>
        <v>-599.14573824764</v>
      </c>
      <c r="BD154" s="43">
        <f t="shared" si="1458"/>
        <v>-7.8389855060150795e-002</v>
      </c>
      <c r="BG154" s="340"/>
    </row>
    <row r="155" s="5" customFormat="1" ht="17" customHeight="1">
      <c r="A155" s="65"/>
      <c r="B155" s="66" t="s">
        <v>197</v>
      </c>
      <c r="C155" s="67">
        <v>1</v>
      </c>
      <c r="D155" s="67"/>
      <c r="E155" s="67"/>
      <c r="F155" s="68"/>
      <c r="G155" s="69">
        <f t="shared" ref="G155:P155" si="1597">G156+G157</f>
        <v>129655</v>
      </c>
      <c r="H155" s="69">
        <f t="shared" si="1597"/>
        <v>101819.8</v>
      </c>
      <c r="I155" s="69">
        <f t="shared" si="1597"/>
        <v>8140.8000000000002</v>
      </c>
      <c r="J155" s="69">
        <f t="shared" si="1597"/>
        <v>14385</v>
      </c>
      <c r="K155" s="69">
        <f t="shared" si="1597"/>
        <v>53514.400000000001</v>
      </c>
      <c r="L155" s="69">
        <f t="shared" si="1597"/>
        <v>25779.599999999999</v>
      </c>
      <c r="M155" s="69">
        <f t="shared" si="1597"/>
        <v>0</v>
      </c>
      <c r="N155" s="69">
        <f t="shared" si="1597"/>
        <v>32214</v>
      </c>
      <c r="O155" s="69">
        <f t="shared" si="1597"/>
        <v>17938</v>
      </c>
      <c r="P155" s="69">
        <f t="shared" si="1597"/>
        <v>0</v>
      </c>
      <c r="Q155" s="59">
        <v>0</v>
      </c>
      <c r="R155" s="69">
        <f t="shared" ref="R155:V155" si="1598">R156+R157</f>
        <v>0</v>
      </c>
      <c r="S155" s="69">
        <f t="shared" si="1598"/>
        <v>0</v>
      </c>
      <c r="T155" s="69">
        <f t="shared" si="1598"/>
        <v>0</v>
      </c>
      <c r="U155" s="69">
        <f t="shared" si="1598"/>
        <v>3328</v>
      </c>
      <c r="V155" s="69">
        <f t="shared" si="1598"/>
        <v>10935.8514067258</v>
      </c>
      <c r="W155" s="69"/>
      <c r="X155" s="69">
        <f t="shared" ref="X155:AM155" si="1599">X156+X157</f>
        <v>2.98620788701666</v>
      </c>
      <c r="Y155" s="69">
        <f t="shared" si="1599"/>
        <v>10.1321578500634</v>
      </c>
      <c r="Z155" s="69">
        <f t="shared" si="1599"/>
        <v>8.8334997587872905</v>
      </c>
      <c r="AA155" s="69">
        <f t="shared" si="1599"/>
        <v>3218.76816017182</v>
      </c>
      <c r="AB155" s="69">
        <f t="shared" si="1599"/>
        <v>9089.7428</v>
      </c>
      <c r="AC155" s="69">
        <f t="shared" si="1599"/>
        <v>638.60801242109505</v>
      </c>
      <c r="AD155" s="69">
        <f t="shared" si="1599"/>
        <v>1</v>
      </c>
      <c r="AE155" s="69">
        <f t="shared" si="1599"/>
        <v>0</v>
      </c>
      <c r="AF155" s="69">
        <f t="shared" si="1599"/>
        <v>62</v>
      </c>
      <c r="AG155" s="59">
        <f t="shared" si="1599"/>
        <v>55</v>
      </c>
      <c r="AH155" s="59">
        <f t="shared" si="1599"/>
        <v>627.99321292507398</v>
      </c>
      <c r="AI155" s="69">
        <f t="shared" si="1599"/>
        <v>2.9473018196108698</v>
      </c>
      <c r="AJ155" s="59">
        <f t="shared" si="1599"/>
        <v>2.8098669059358898</v>
      </c>
      <c r="AK155" s="59">
        <f t="shared" si="1599"/>
        <v>1298.57186686316</v>
      </c>
      <c r="AL155" s="69">
        <f t="shared" si="1599"/>
        <v>0</v>
      </c>
      <c r="AM155" s="69">
        <f t="shared" si="1599"/>
        <v>200</v>
      </c>
      <c r="AN155" s="69">
        <v>8</v>
      </c>
      <c r="AO155" s="69">
        <f t="shared" ref="AO155:AR155" si="1600">AO156+AO157</f>
        <v>4800</v>
      </c>
      <c r="AP155" s="69">
        <f t="shared" si="1600"/>
        <v>0</v>
      </c>
      <c r="AQ155" s="69">
        <f t="shared" si="1600"/>
        <v>389.74000000000001</v>
      </c>
      <c r="AR155" s="69">
        <f t="shared" si="1600"/>
        <v>0</v>
      </c>
      <c r="AS155" s="69">
        <v>900</v>
      </c>
      <c r="AT155" s="69"/>
      <c r="AU155" s="69">
        <v>0</v>
      </c>
      <c r="AV155" s="71">
        <f t="shared" ref="AV155:BC155" si="1601">AV156+AV157</f>
        <v>22.204357749635701</v>
      </c>
      <c r="AW155" s="71">
        <v>567.27992322750094</v>
      </c>
      <c r="AX155" s="69">
        <f t="shared" si="1601"/>
        <v>5099.3598654048201</v>
      </c>
      <c r="AY155" s="71">
        <f t="shared" si="1601"/>
        <v>0</v>
      </c>
      <c r="AZ155" s="71">
        <f t="shared" si="1601"/>
        <v>23187.0725823344</v>
      </c>
      <c r="BA155" s="71">
        <f t="shared" si="1601"/>
        <v>49523</v>
      </c>
      <c r="BB155" s="69">
        <f t="shared" si="1601"/>
        <v>44969.932049385599</v>
      </c>
      <c r="BC155" s="69">
        <f t="shared" si="1601"/>
        <v>-21782.859467051199</v>
      </c>
      <c r="BD155" s="336">
        <f t="shared" si="1458"/>
        <v>-0.48438719994349599</v>
      </c>
      <c r="BG155" s="340"/>
    </row>
    <row r="156" s="5" customFormat="1" ht="17" customHeight="1">
      <c r="A156" s="44"/>
      <c r="B156" s="72" t="s">
        <v>198</v>
      </c>
      <c r="C156" s="46">
        <v>2</v>
      </c>
      <c r="D156" s="46"/>
      <c r="E156" s="46"/>
      <c r="F156" s="46"/>
      <c r="G156" s="73"/>
      <c r="H156" s="59">
        <f t="shared" ref="H156:H162" si="1602">SUM(I156:M156)</f>
        <v>0</v>
      </c>
      <c r="I156" s="59">
        <f t="shared" ref="I156:I162" si="1603">IF(D156="",G156*0.6,0)</f>
        <v>0</v>
      </c>
      <c r="J156" s="59">
        <f t="shared" ref="J156:J162" si="1604">IF(D156=2017,G156*0.7,0)</f>
        <v>0</v>
      </c>
      <c r="K156" s="59">
        <f t="shared" ref="K156:K162" si="1605">IF(D156=2018,G156*0.8,0)</f>
        <v>0</v>
      </c>
      <c r="L156" s="59">
        <f t="shared" ref="L156:L162" si="1606">IF(D156=2019,G156*0.9,0)</f>
        <v>0</v>
      </c>
      <c r="M156" s="59">
        <f t="shared" ref="M156:M162" si="1607">IF(D156=2020,G156*1,0)</f>
        <v>0</v>
      </c>
      <c r="N156" s="59"/>
      <c r="O156" s="59"/>
      <c r="P156" s="59">
        <f>L156*0.4+M156*0.6+N156*0.8+O156*1</f>
        <v>0</v>
      </c>
      <c r="Q156" s="59"/>
      <c r="R156" s="59"/>
      <c r="S156" s="59"/>
      <c r="T156" s="59"/>
      <c r="U156" s="59"/>
      <c r="V156" s="59">
        <f>H156/$H$9*134866+N156/$N$9*202299+P156/$P$9*100000+U156/$U$9*34867</f>
        <v>0</v>
      </c>
      <c r="W156" s="59"/>
      <c r="X156" s="62"/>
      <c r="Y156" s="62"/>
      <c r="Z156" s="62"/>
      <c r="AA156" s="59"/>
      <c r="AB156" s="59"/>
      <c r="AC156" s="59"/>
      <c r="AD156" s="59"/>
      <c r="AE156" s="59"/>
      <c r="AF156" s="59"/>
      <c r="AG156" s="59">
        <f t="shared" si="1595"/>
        <v>0</v>
      </c>
      <c r="AH156" s="59">
        <f t="shared" ref="AH156:AH162" si="1608">AG156/$AG$9*40459.89</f>
        <v>0</v>
      </c>
      <c r="AI156" s="59"/>
      <c r="AJ156" s="59">
        <f t="shared" si="1596"/>
        <v>0</v>
      </c>
      <c r="AK156" s="59">
        <f t="shared" ref="AK156:AK162" si="1609">AJ156/$AJ$9*40459.89</f>
        <v>0</v>
      </c>
      <c r="AL156" s="59"/>
      <c r="AM156" s="59"/>
      <c r="AN156" s="59"/>
      <c r="AO156" s="59"/>
      <c r="AP156" s="59"/>
      <c r="AQ156" s="62"/>
      <c r="AR156" s="62"/>
      <c r="AS156" s="59"/>
      <c r="AT156" s="59"/>
      <c r="AU156" s="59"/>
      <c r="AV156" s="62"/>
      <c r="AW156" s="59">
        <v>0</v>
      </c>
      <c r="AX156" s="59"/>
      <c r="AY156" s="59"/>
      <c r="AZ156" s="59">
        <f t="shared" ref="AZ156:AZ162" si="1610">V156+AA156+AC156+AE156+AH156+AK156+AM156+AO156+AP156+AS156+AU156+AW156+AY156</f>
        <v>0</v>
      </c>
      <c r="BA156" s="73"/>
      <c r="BB156" s="170"/>
      <c r="BC156" s="50"/>
      <c r="BD156" s="43"/>
      <c r="BG156" s="340"/>
    </row>
    <row r="157" s="5" customFormat="1" ht="17" customHeight="1">
      <c r="A157" s="75"/>
      <c r="B157" s="76" t="s">
        <v>76</v>
      </c>
      <c r="C157" s="77">
        <v>3</v>
      </c>
      <c r="D157" s="77"/>
      <c r="E157" s="77"/>
      <c r="F157" s="78"/>
      <c r="G157" s="79">
        <f t="shared" ref="G157:P157" si="1611">SUM(G158:G162)</f>
        <v>129655</v>
      </c>
      <c r="H157" s="79">
        <f t="shared" si="1611"/>
        <v>101819.8</v>
      </c>
      <c r="I157" s="79">
        <f t="shared" si="1611"/>
        <v>8140.8000000000002</v>
      </c>
      <c r="J157" s="79">
        <f t="shared" si="1611"/>
        <v>14385</v>
      </c>
      <c r="K157" s="79">
        <f t="shared" si="1611"/>
        <v>53514.400000000001</v>
      </c>
      <c r="L157" s="79">
        <f t="shared" si="1611"/>
        <v>25779.599999999999</v>
      </c>
      <c r="M157" s="79">
        <f t="shared" si="1611"/>
        <v>0</v>
      </c>
      <c r="N157" s="79">
        <f t="shared" si="1611"/>
        <v>32214</v>
      </c>
      <c r="O157" s="79">
        <f t="shared" si="1611"/>
        <v>17938</v>
      </c>
      <c r="P157" s="79">
        <f t="shared" si="1611"/>
        <v>0</v>
      </c>
      <c r="Q157" s="59">
        <v>0</v>
      </c>
      <c r="R157" s="79">
        <f t="shared" ref="R157:V157" si="1612">SUM(R158:R162)</f>
        <v>0</v>
      </c>
      <c r="S157" s="79">
        <f t="shared" si="1612"/>
        <v>0</v>
      </c>
      <c r="T157" s="79">
        <f t="shared" si="1612"/>
        <v>0</v>
      </c>
      <c r="U157" s="79">
        <f t="shared" si="1612"/>
        <v>3328</v>
      </c>
      <c r="V157" s="79">
        <f t="shared" si="1612"/>
        <v>10935.8514067258</v>
      </c>
      <c r="W157" s="79"/>
      <c r="X157" s="79">
        <f t="shared" ref="X157:AM157" si="1613">SUM(X158:X162)</f>
        <v>2.98620788701666</v>
      </c>
      <c r="Y157" s="79">
        <f t="shared" si="1613"/>
        <v>10.1321578500634</v>
      </c>
      <c r="Z157" s="79">
        <f t="shared" si="1613"/>
        <v>8.8334997587872905</v>
      </c>
      <c r="AA157" s="79">
        <f t="shared" si="1613"/>
        <v>3218.76816017182</v>
      </c>
      <c r="AB157" s="79">
        <f t="shared" si="1613"/>
        <v>9089.7428</v>
      </c>
      <c r="AC157" s="79">
        <f t="shared" si="1613"/>
        <v>638.60801242109505</v>
      </c>
      <c r="AD157" s="79">
        <f t="shared" si="1613"/>
        <v>1</v>
      </c>
      <c r="AE157" s="79">
        <f t="shared" si="1613"/>
        <v>0</v>
      </c>
      <c r="AF157" s="79">
        <f t="shared" si="1613"/>
        <v>62</v>
      </c>
      <c r="AG157" s="59">
        <f t="shared" si="1613"/>
        <v>55</v>
      </c>
      <c r="AH157" s="59">
        <f t="shared" si="1613"/>
        <v>627.99321292507398</v>
      </c>
      <c r="AI157" s="79">
        <f t="shared" si="1613"/>
        <v>2.9473018196108698</v>
      </c>
      <c r="AJ157" s="59">
        <f t="shared" si="1613"/>
        <v>2.8098669059358898</v>
      </c>
      <c r="AK157" s="59">
        <f t="shared" si="1613"/>
        <v>1298.57186686316</v>
      </c>
      <c r="AL157" s="79">
        <f t="shared" si="1613"/>
        <v>0</v>
      </c>
      <c r="AM157" s="79">
        <f t="shared" si="1613"/>
        <v>200</v>
      </c>
      <c r="AN157" s="79">
        <v>8</v>
      </c>
      <c r="AO157" s="79">
        <f t="shared" ref="AO157:AR157" si="1614">SUM(AO158:AO162)</f>
        <v>4800</v>
      </c>
      <c r="AP157" s="79">
        <f t="shared" si="1614"/>
        <v>0</v>
      </c>
      <c r="AQ157" s="79">
        <f t="shared" si="1614"/>
        <v>389.74000000000001</v>
      </c>
      <c r="AR157" s="79">
        <f t="shared" si="1614"/>
        <v>0</v>
      </c>
      <c r="AS157" s="79">
        <v>900</v>
      </c>
      <c r="AT157" s="79"/>
      <c r="AU157" s="79">
        <v>0</v>
      </c>
      <c r="AV157" s="81">
        <f t="shared" ref="AV157:BC157" si="1615">SUM(AV158:AV162)</f>
        <v>22.204357749635701</v>
      </c>
      <c r="AW157" s="81">
        <v>567.27992322750094</v>
      </c>
      <c r="AX157" s="79">
        <f t="shared" si="1615"/>
        <v>5099.3598654048201</v>
      </c>
      <c r="AY157" s="81">
        <f t="shared" si="1615"/>
        <v>0</v>
      </c>
      <c r="AZ157" s="81">
        <f t="shared" si="1615"/>
        <v>23187.0725823344</v>
      </c>
      <c r="BA157" s="81">
        <f t="shared" si="1615"/>
        <v>49523</v>
      </c>
      <c r="BB157" s="79">
        <f t="shared" si="1615"/>
        <v>44969.932049385599</v>
      </c>
      <c r="BC157" s="79">
        <f t="shared" si="1615"/>
        <v>-21782.859467051199</v>
      </c>
      <c r="BD157" s="337">
        <f t="shared" si="1458"/>
        <v>-0.48438719994349599</v>
      </c>
      <c r="BG157" s="340"/>
    </row>
    <row r="158" ht="17" customHeight="1">
      <c r="A158" s="46">
        <v>105</v>
      </c>
      <c r="B158" s="82" t="s">
        <v>200</v>
      </c>
      <c r="C158" s="46" t="s">
        <v>90</v>
      </c>
      <c r="D158" s="46">
        <v>2017</v>
      </c>
      <c r="E158" s="46"/>
      <c r="F158" s="46" t="s">
        <v>146</v>
      </c>
      <c r="G158" s="73">
        <v>20550</v>
      </c>
      <c r="H158" s="59">
        <f t="shared" si="1602"/>
        <v>14385</v>
      </c>
      <c r="I158" s="59">
        <f t="shared" si="1603"/>
        <v>0</v>
      </c>
      <c r="J158" s="59">
        <f t="shared" si="1604"/>
        <v>14385</v>
      </c>
      <c r="K158" s="59">
        <f t="shared" si="1605"/>
        <v>0</v>
      </c>
      <c r="L158" s="59">
        <f t="shared" si="1606"/>
        <v>0</v>
      </c>
      <c r="M158" s="59">
        <f t="shared" si="1607"/>
        <v>0</v>
      </c>
      <c r="N158" s="59">
        <v>4269</v>
      </c>
      <c r="O158" s="59">
        <v>4796</v>
      </c>
      <c r="P158" s="59">
        <f t="shared" ref="P158:P162" si="1616">Q158*0.6+R158*0.8+S158*1+T158*1.25</f>
        <v>0</v>
      </c>
      <c r="Q158" s="59"/>
      <c r="R158" s="59"/>
      <c r="S158" s="59"/>
      <c r="T158" s="59"/>
      <c r="U158" s="59">
        <v>1040</v>
      </c>
      <c r="V158" s="59">
        <f t="shared" ref="V158:V162" si="1617">H158/$H$9*(134866+26973)+N158/$N$9*202299+P158/$P$9*100000+U158/$U$9*34867</f>
        <v>1616.08212510421</v>
      </c>
      <c r="W158" s="59">
        <v>12489.9</v>
      </c>
      <c r="X158" s="62">
        <f t="shared" ref="X158:X162" si="1618">($W$64-W158)/($W$64-$W$44)</f>
        <v>0.51131672965393105</v>
      </c>
      <c r="Y158" s="62">
        <f t="shared" ref="Y158:Y162" si="1619">(G158+N158)*X158/10000</f>
        <v>1.2690369913280899</v>
      </c>
      <c r="Z158" s="62">
        <f>Y158*0.5</f>
        <v>0.63451849566404495</v>
      </c>
      <c r="AA158" s="59">
        <f t="shared" ref="AA158:AA162" si="1620">Z158/$Z$9*(1348663*0.1+30000)</f>
        <v>231.207107788945</v>
      </c>
      <c r="AB158" s="59">
        <v>635.79999999999995</v>
      </c>
      <c r="AC158" s="59">
        <f t="shared" ref="AC158:AC162" si="1621">(AB158/$AB$9*1348663*0.037)</f>
        <v>44.668697809285902</v>
      </c>
      <c r="AD158" s="59"/>
      <c r="AE158" s="59"/>
      <c r="AF158" s="59">
        <v>15</v>
      </c>
      <c r="AG158" s="59">
        <f t="shared" ref="AG158:AG161" si="1622">AF158</f>
        <v>15</v>
      </c>
      <c r="AH158" s="59">
        <f t="shared" si="1608"/>
        <v>171.27087625229299</v>
      </c>
      <c r="AI158" s="59">
        <v>0.73562284088599905</v>
      </c>
      <c r="AJ158" s="59">
        <f t="shared" ref="AJ158:AJ161" si="1623">AI158</f>
        <v>0.73562284088599905</v>
      </c>
      <c r="AK158" s="59">
        <f t="shared" si="1609"/>
        <v>339.965969127758</v>
      </c>
      <c r="AL158" s="338" t="s">
        <v>1544</v>
      </c>
      <c r="AM158" s="59">
        <v>100</v>
      </c>
      <c r="AN158" s="59">
        <v>1</v>
      </c>
      <c r="AO158" s="59">
        <f t="shared" ref="AO158:AO162" si="1624">AN158*600</f>
        <v>600</v>
      </c>
      <c r="AP158" s="59"/>
      <c r="AQ158" s="62">
        <v>81.930000000000007</v>
      </c>
      <c r="AR158" s="62" t="s">
        <v>442</v>
      </c>
      <c r="AS158" s="59">
        <v>600</v>
      </c>
      <c r="AT158" s="59" t="s">
        <v>443</v>
      </c>
      <c r="AU158" s="59"/>
      <c r="AV158" s="62">
        <v>7.7877419986183298</v>
      </c>
      <c r="AW158" s="59">
        <f t="shared" si="1466"/>
        <v>198.96228176941</v>
      </c>
      <c r="AX158" s="59">
        <v>2383.7030004989901</v>
      </c>
      <c r="AY158" s="59"/>
      <c r="AZ158" s="59">
        <f t="shared" si="1610"/>
        <v>3902.1570578519099</v>
      </c>
      <c r="BA158" s="59">
        <v>5596</v>
      </c>
      <c r="BB158" s="59">
        <f t="shared" ref="BB158:BB162" si="1625">BA158/$BA$9*1348663</f>
        <v>5081.5124234873001</v>
      </c>
      <c r="BC158" s="59">
        <f t="shared" ref="BC158:BC162" si="1626">AZ158-BB158</f>
        <v>-1179.3553656353999</v>
      </c>
      <c r="BD158" s="43">
        <f t="shared" si="1458"/>
        <v>-0.23208747068772001</v>
      </c>
      <c r="BG158" s="340"/>
    </row>
    <row r="159" ht="17" customHeight="1">
      <c r="A159" s="46">
        <v>106</v>
      </c>
      <c r="B159" s="82" t="s">
        <v>201</v>
      </c>
      <c r="C159" s="46" t="s">
        <v>90</v>
      </c>
      <c r="D159" s="46">
        <v>2019</v>
      </c>
      <c r="E159" s="46" t="s">
        <v>91</v>
      </c>
      <c r="F159" s="46"/>
      <c r="G159" s="73">
        <v>28644</v>
      </c>
      <c r="H159" s="59">
        <f t="shared" si="1602"/>
        <v>25779.599999999999</v>
      </c>
      <c r="I159" s="59">
        <f t="shared" si="1603"/>
        <v>0</v>
      </c>
      <c r="J159" s="59">
        <f t="shared" si="1604"/>
        <v>0</v>
      </c>
      <c r="K159" s="59">
        <f t="shared" si="1605"/>
        <v>0</v>
      </c>
      <c r="L159" s="59">
        <f t="shared" si="1606"/>
        <v>25779.599999999999</v>
      </c>
      <c r="M159" s="59">
        <f t="shared" si="1607"/>
        <v>0</v>
      </c>
      <c r="N159" s="59">
        <v>7865</v>
      </c>
      <c r="O159" s="59">
        <v>3702</v>
      </c>
      <c r="P159" s="59">
        <f t="shared" si="1616"/>
        <v>0</v>
      </c>
      <c r="Q159" s="59"/>
      <c r="R159" s="59"/>
      <c r="S159" s="59"/>
      <c r="T159" s="59"/>
      <c r="U159" s="59">
        <v>997</v>
      </c>
      <c r="V159" s="59">
        <f t="shared" si="1617"/>
        <v>2739.64595606992</v>
      </c>
      <c r="W159" s="59">
        <v>11483.950000000001</v>
      </c>
      <c r="X159" s="62">
        <f t="shared" si="1618"/>
        <v>0.67364475183233197</v>
      </c>
      <c r="Y159" s="62">
        <f t="shared" si="1619"/>
        <v>2.4594096244646599</v>
      </c>
      <c r="Z159" s="62">
        <f t="shared" ref="Z159:Z161" si="1627">Y159*1</f>
        <v>2.4594096244646599</v>
      </c>
      <c r="AA159" s="59">
        <f t="shared" si="1620"/>
        <v>896.16455631553504</v>
      </c>
      <c r="AB159" s="59">
        <v>2323.3000000000002</v>
      </c>
      <c r="AC159" s="59">
        <f t="shared" si="1621"/>
        <v>163.22552000678499</v>
      </c>
      <c r="AD159" s="59"/>
      <c r="AE159" s="59"/>
      <c r="AF159" s="59">
        <v>17</v>
      </c>
      <c r="AG159" s="59">
        <f t="shared" si="1622"/>
        <v>17</v>
      </c>
      <c r="AH159" s="59">
        <f t="shared" si="1608"/>
        <v>194.106993085932</v>
      </c>
      <c r="AI159" s="59">
        <v>0.80865139949109399</v>
      </c>
      <c r="AJ159" s="59">
        <f t="shared" si="1623"/>
        <v>0.80865139949109399</v>
      </c>
      <c r="AK159" s="59">
        <f t="shared" si="1609"/>
        <v>373.715906351407</v>
      </c>
      <c r="AL159" s="338"/>
      <c r="AM159" s="59"/>
      <c r="AN159" s="59">
        <v>2</v>
      </c>
      <c r="AO159" s="59">
        <f t="shared" si="1624"/>
        <v>1200</v>
      </c>
      <c r="AP159" s="59"/>
      <c r="AQ159" s="62">
        <v>75.439999999999998</v>
      </c>
      <c r="AR159" s="62" t="s">
        <v>440</v>
      </c>
      <c r="AS159" s="59"/>
      <c r="AT159" s="59" t="s">
        <v>443</v>
      </c>
      <c r="AU159" s="59"/>
      <c r="AV159" s="62">
        <v>13.1901695558709</v>
      </c>
      <c r="AW159" s="59">
        <f t="shared" si="1466"/>
        <v>336.98422883386303</v>
      </c>
      <c r="AX159" s="59">
        <v>0</v>
      </c>
      <c r="AY159" s="59"/>
      <c r="AZ159" s="59">
        <f t="shared" si="1610"/>
        <v>5903.8431606634404</v>
      </c>
      <c r="BA159" s="59">
        <v>9862</v>
      </c>
      <c r="BB159" s="59">
        <f t="shared" si="1625"/>
        <v>8955.3029879256192</v>
      </c>
      <c r="BC159" s="59">
        <f t="shared" si="1626"/>
        <v>-3051.4598272621802</v>
      </c>
      <c r="BD159" s="43">
        <f t="shared" si="1458"/>
        <v>-0.34074333736965101</v>
      </c>
      <c r="BG159" s="340"/>
    </row>
    <row r="160" ht="17" customHeight="1">
      <c r="A160" s="46">
        <v>107</v>
      </c>
      <c r="B160" s="82" t="s">
        <v>202</v>
      </c>
      <c r="C160" s="46" t="s">
        <v>90</v>
      </c>
      <c r="D160" s="46">
        <v>2018</v>
      </c>
      <c r="E160" s="46" t="s">
        <v>91</v>
      </c>
      <c r="F160" s="46" t="s">
        <v>146</v>
      </c>
      <c r="G160" s="73">
        <v>38110</v>
      </c>
      <c r="H160" s="59">
        <f t="shared" si="1602"/>
        <v>30488</v>
      </c>
      <c r="I160" s="59">
        <f t="shared" si="1603"/>
        <v>0</v>
      </c>
      <c r="J160" s="59">
        <f t="shared" si="1604"/>
        <v>0</v>
      </c>
      <c r="K160" s="59">
        <f t="shared" si="1605"/>
        <v>30488</v>
      </c>
      <c r="L160" s="59">
        <f t="shared" si="1606"/>
        <v>0</v>
      </c>
      <c r="M160" s="59">
        <f t="shared" si="1607"/>
        <v>0</v>
      </c>
      <c r="N160" s="59">
        <v>8586</v>
      </c>
      <c r="O160" s="59">
        <v>3888</v>
      </c>
      <c r="P160" s="59">
        <f t="shared" si="1616"/>
        <v>0</v>
      </c>
      <c r="Q160" s="59"/>
      <c r="R160" s="59"/>
      <c r="S160" s="59"/>
      <c r="T160" s="59"/>
      <c r="U160" s="59">
        <v>645</v>
      </c>
      <c r="V160" s="59">
        <f t="shared" si="1617"/>
        <v>2952.3591887174098</v>
      </c>
      <c r="W160" s="59">
        <v>11336.540000000001</v>
      </c>
      <c r="X160" s="62">
        <f t="shared" si="1618"/>
        <v>0.69743199150559498</v>
      </c>
      <c r="Y160" s="62">
        <f t="shared" si="1619"/>
        <v>3.2567284275345201</v>
      </c>
      <c r="Z160" s="62">
        <f t="shared" si="1627"/>
        <v>3.2567284275345201</v>
      </c>
      <c r="AA160" s="59">
        <f t="shared" si="1620"/>
        <v>1186.6931629727801</v>
      </c>
      <c r="AB160" s="59">
        <v>4263.1999999999998</v>
      </c>
      <c r="AC160" s="59">
        <f t="shared" si="1621"/>
        <v>299.51493001029797</v>
      </c>
      <c r="AD160" s="59">
        <v>1</v>
      </c>
      <c r="AE160" s="59"/>
      <c r="AF160" s="59">
        <v>10</v>
      </c>
      <c r="AG160" s="59">
        <f t="shared" si="1622"/>
        <v>10</v>
      </c>
      <c r="AH160" s="59">
        <f t="shared" si="1608"/>
        <v>114.180584168195</v>
      </c>
      <c r="AI160" s="59">
        <v>0.27815040650406497</v>
      </c>
      <c r="AJ160" s="59">
        <f t="shared" si="1623"/>
        <v>0.27815040650406497</v>
      </c>
      <c r="AK160" s="59">
        <f t="shared" si="1609"/>
        <v>128.54640619443299</v>
      </c>
      <c r="AL160" s="338"/>
      <c r="AM160" s="59"/>
      <c r="AN160" s="59">
        <v>2</v>
      </c>
      <c r="AO160" s="59">
        <f t="shared" si="1624"/>
        <v>1200</v>
      </c>
      <c r="AP160" s="59"/>
      <c r="AQ160" s="62">
        <v>79.170000000000002</v>
      </c>
      <c r="AR160" s="62" t="s">
        <v>440</v>
      </c>
      <c r="AS160" s="59"/>
      <c r="AT160" s="59" t="s">
        <v>443</v>
      </c>
      <c r="AU160" s="59"/>
      <c r="AV160" s="62">
        <v>0.36057949259245398</v>
      </c>
      <c r="AW160" s="59">
        <f t="shared" si="1466"/>
        <v>9.2121334551374296</v>
      </c>
      <c r="AX160" s="59">
        <v>34.973345957407702</v>
      </c>
      <c r="AY160" s="59"/>
      <c r="AZ160" s="59">
        <f t="shared" si="1610"/>
        <v>5890.5064055182602</v>
      </c>
      <c r="BA160" s="59">
        <v>14584</v>
      </c>
      <c r="BB160" s="59">
        <f t="shared" si="1625"/>
        <v>13243.1696183236</v>
      </c>
      <c r="BC160" s="59">
        <f t="shared" si="1626"/>
        <v>-7352.6632128053398</v>
      </c>
      <c r="BD160" s="43">
        <f t="shared" si="1458"/>
        <v>-0.55520418636275704</v>
      </c>
      <c r="BG160" s="340"/>
    </row>
    <row r="161" ht="17" customHeight="1">
      <c r="A161" s="46">
        <v>108</v>
      </c>
      <c r="B161" s="82" t="s">
        <v>203</v>
      </c>
      <c r="C161" s="46" t="s">
        <v>90</v>
      </c>
      <c r="D161" s="46">
        <v>2018</v>
      </c>
      <c r="E161" s="46" t="s">
        <v>91</v>
      </c>
      <c r="F161" s="46" t="s">
        <v>146</v>
      </c>
      <c r="G161" s="73">
        <v>28783</v>
      </c>
      <c r="H161" s="59">
        <f t="shared" si="1602"/>
        <v>23026.400000000001</v>
      </c>
      <c r="I161" s="59">
        <f t="shared" si="1603"/>
        <v>0</v>
      </c>
      <c r="J161" s="59">
        <f t="shared" si="1604"/>
        <v>0</v>
      </c>
      <c r="K161" s="59">
        <f t="shared" si="1605"/>
        <v>23026.400000000001</v>
      </c>
      <c r="L161" s="59">
        <f t="shared" si="1606"/>
        <v>0</v>
      </c>
      <c r="M161" s="59">
        <f t="shared" si="1607"/>
        <v>0</v>
      </c>
      <c r="N161" s="59">
        <v>6488</v>
      </c>
      <c r="O161" s="59">
        <v>5025</v>
      </c>
      <c r="P161" s="59">
        <f t="shared" si="1616"/>
        <v>0</v>
      </c>
      <c r="Q161" s="59"/>
      <c r="R161" s="59"/>
      <c r="S161" s="59"/>
      <c r="T161" s="59"/>
      <c r="U161" s="59">
        <v>644</v>
      </c>
      <c r="V161" s="59">
        <f t="shared" si="1617"/>
        <v>2267.6378132395698</v>
      </c>
      <c r="W161" s="59">
        <v>11587.969999999999</v>
      </c>
      <c r="X161" s="62">
        <f t="shared" si="1618"/>
        <v>0.65685926461428301</v>
      </c>
      <c r="Y161" s="62">
        <f t="shared" si="1619"/>
        <v>2.3168083122210401</v>
      </c>
      <c r="Z161" s="62">
        <f t="shared" si="1627"/>
        <v>2.3168083122210401</v>
      </c>
      <c r="AA161" s="59">
        <f t="shared" si="1620"/>
        <v>844.203207361865</v>
      </c>
      <c r="AB161" s="59">
        <v>1368.1772000000001</v>
      </c>
      <c r="AC161" s="59">
        <f t="shared" si="1621"/>
        <v>96.122513205968801</v>
      </c>
      <c r="AD161" s="59"/>
      <c r="AE161" s="59"/>
      <c r="AF161" s="59">
        <v>6</v>
      </c>
      <c r="AG161" s="59">
        <f t="shared" si="1622"/>
        <v>6</v>
      </c>
      <c r="AH161" s="59">
        <f t="shared" si="1608"/>
        <v>68.508350500917203</v>
      </c>
      <c r="AI161" s="59">
        <v>0.85000734537975597</v>
      </c>
      <c r="AJ161" s="59">
        <f t="shared" si="1623"/>
        <v>0.85000734537975597</v>
      </c>
      <c r="AK161" s="59">
        <f t="shared" si="1609"/>
        <v>392.82843717807401</v>
      </c>
      <c r="AL161" s="338" t="s">
        <v>1544</v>
      </c>
      <c r="AM161" s="59">
        <v>100</v>
      </c>
      <c r="AN161" s="59">
        <v>2</v>
      </c>
      <c r="AO161" s="59">
        <f t="shared" si="1624"/>
        <v>1200</v>
      </c>
      <c r="AP161" s="59"/>
      <c r="AQ161" s="62">
        <v>70.819999999999993</v>
      </c>
      <c r="AR161" s="62" t="s">
        <v>440</v>
      </c>
      <c r="AS161" s="59"/>
      <c r="AT161" s="59" t="s">
        <v>443</v>
      </c>
      <c r="AU161" s="59"/>
      <c r="AV161" s="62">
        <v>0.34662433350056998</v>
      </c>
      <c r="AW161" s="59">
        <f t="shared" si="1466"/>
        <v>8.8556051705757497</v>
      </c>
      <c r="AX161" s="59">
        <v>1388.81332667831</v>
      </c>
      <c r="AY161" s="59"/>
      <c r="AZ161" s="59">
        <f t="shared" si="1610"/>
        <v>4978.1559266569702</v>
      </c>
      <c r="BA161" s="59">
        <v>9848</v>
      </c>
      <c r="BB161" s="59">
        <f t="shared" si="1625"/>
        <v>8942.5901262514199</v>
      </c>
      <c r="BC161" s="59">
        <f t="shared" si="1626"/>
        <v>-3964.4341995944501</v>
      </c>
      <c r="BD161" s="43">
        <f t="shared" si="1458"/>
        <v>-0.44332057531706198</v>
      </c>
      <c r="BG161" s="340"/>
    </row>
    <row r="162" ht="17" customHeight="1">
      <c r="A162" s="46">
        <v>109</v>
      </c>
      <c r="B162" s="82" t="s">
        <v>199</v>
      </c>
      <c r="C162" s="46" t="s">
        <v>78</v>
      </c>
      <c r="D162" s="46"/>
      <c r="E162" s="46"/>
      <c r="F162" s="46" t="s">
        <v>146</v>
      </c>
      <c r="G162" s="73">
        <v>13568</v>
      </c>
      <c r="H162" s="59">
        <f t="shared" si="1602"/>
        <v>8140.8000000000002</v>
      </c>
      <c r="I162" s="59">
        <f t="shared" si="1603"/>
        <v>8140.8000000000002</v>
      </c>
      <c r="J162" s="59">
        <f t="shared" si="1604"/>
        <v>0</v>
      </c>
      <c r="K162" s="59">
        <f t="shared" si="1605"/>
        <v>0</v>
      </c>
      <c r="L162" s="59">
        <f t="shared" si="1606"/>
        <v>0</v>
      </c>
      <c r="M162" s="59">
        <f t="shared" si="1607"/>
        <v>0</v>
      </c>
      <c r="N162" s="59">
        <v>5006</v>
      </c>
      <c r="O162" s="59">
        <v>527</v>
      </c>
      <c r="P162" s="59">
        <f t="shared" si="1616"/>
        <v>0</v>
      </c>
      <c r="Q162" s="59"/>
      <c r="R162" s="59"/>
      <c r="S162" s="59"/>
      <c r="T162" s="59"/>
      <c r="U162" s="59">
        <v>2</v>
      </c>
      <c r="V162" s="59">
        <f t="shared" si="1617"/>
        <v>1360.1263235946601</v>
      </c>
      <c r="W162" s="59">
        <v>12888.75</v>
      </c>
      <c r="X162" s="62">
        <f t="shared" si="1618"/>
        <v>0.446955149410523</v>
      </c>
      <c r="Y162" s="62">
        <f t="shared" si="1619"/>
        <v>0.83017449451510605</v>
      </c>
      <c r="Z162" s="62">
        <f>Y162*0.2</f>
        <v>0.16603489890302101</v>
      </c>
      <c r="AA162" s="59">
        <f t="shared" si="1620"/>
        <v>60.5001257326984</v>
      </c>
      <c r="AB162" s="59">
        <v>499.26560000000001</v>
      </c>
      <c r="AC162" s="59">
        <f t="shared" si="1621"/>
        <v>35.076351388757203</v>
      </c>
      <c r="AD162" s="59"/>
      <c r="AE162" s="59"/>
      <c r="AF162" s="59">
        <v>14</v>
      </c>
      <c r="AG162" s="59">
        <f>AF162*0.5</f>
        <v>7</v>
      </c>
      <c r="AH162" s="59">
        <f t="shared" si="1608"/>
        <v>79.926408917736694</v>
      </c>
      <c r="AI162" s="59">
        <v>0.27486982734995902</v>
      </c>
      <c r="AJ162" s="59">
        <f>AI162*0.5</f>
        <v>0.13743491367498001</v>
      </c>
      <c r="AK162" s="59">
        <f t="shared" si="1609"/>
        <v>63.515148011486197</v>
      </c>
      <c r="AL162" s="338"/>
      <c r="AM162" s="59"/>
      <c r="AN162" s="59">
        <v>1</v>
      </c>
      <c r="AO162" s="59">
        <f t="shared" si="1624"/>
        <v>600</v>
      </c>
      <c r="AP162" s="59"/>
      <c r="AQ162" s="62">
        <v>82.379999999999995</v>
      </c>
      <c r="AR162" s="62" t="s">
        <v>442</v>
      </c>
      <c r="AS162" s="59">
        <v>300</v>
      </c>
      <c r="AT162" s="59" t="s">
        <v>443</v>
      </c>
      <c r="AU162" s="59"/>
      <c r="AV162" s="62">
        <v>0.51924236905339605</v>
      </c>
      <c r="AW162" s="59">
        <f t="shared" si="1466"/>
        <v>13.2656739985154</v>
      </c>
      <c r="AX162" s="59">
        <v>1291.87019227011</v>
      </c>
      <c r="AY162" s="59"/>
      <c r="AZ162" s="59">
        <f t="shared" si="1610"/>
        <v>2512.4100316438498</v>
      </c>
      <c r="BA162" s="59">
        <v>9633</v>
      </c>
      <c r="BB162" s="59">
        <f t="shared" si="1625"/>
        <v>8747.3568933976403</v>
      </c>
      <c r="BC162" s="59">
        <f t="shared" si="1626"/>
        <v>-6234.9468617537896</v>
      </c>
      <c r="BD162" s="43">
        <f t="shared" si="1458"/>
        <v>-0.71278066480399604</v>
      </c>
      <c r="BG162" s="340"/>
    </row>
    <row r="163" s="5" customFormat="1" ht="17" customHeight="1">
      <c r="A163" s="65"/>
      <c r="B163" s="66" t="s">
        <v>204</v>
      </c>
      <c r="C163" s="67">
        <v>1</v>
      </c>
      <c r="D163" s="67"/>
      <c r="E163" s="67"/>
      <c r="F163" s="68"/>
      <c r="G163" s="69">
        <f t="shared" ref="G163:P163" si="1628">G164+G165</f>
        <v>163512</v>
      </c>
      <c r="H163" s="69">
        <f t="shared" si="1628"/>
        <v>146456.10000000001</v>
      </c>
      <c r="I163" s="69">
        <f t="shared" si="1628"/>
        <v>10342.799999999999</v>
      </c>
      <c r="J163" s="69">
        <f t="shared" si="1628"/>
        <v>10215.1</v>
      </c>
      <c r="K163" s="69">
        <f t="shared" si="1628"/>
        <v>0</v>
      </c>
      <c r="L163" s="69">
        <f t="shared" si="1628"/>
        <v>52045.199999999997</v>
      </c>
      <c r="M163" s="69">
        <f t="shared" si="1628"/>
        <v>73853</v>
      </c>
      <c r="N163" s="69">
        <f t="shared" si="1628"/>
        <v>29428</v>
      </c>
      <c r="O163" s="69">
        <f t="shared" si="1628"/>
        <v>24965</v>
      </c>
      <c r="P163" s="69">
        <f t="shared" si="1628"/>
        <v>12523.799999999999</v>
      </c>
      <c r="Q163" s="59">
        <v>1253</v>
      </c>
      <c r="R163" s="69">
        <f t="shared" ref="R163:V163" si="1629">R164+R165</f>
        <v>0</v>
      </c>
      <c r="S163" s="69">
        <f t="shared" si="1629"/>
        <v>11772</v>
      </c>
      <c r="T163" s="69">
        <f t="shared" si="1629"/>
        <v>0</v>
      </c>
      <c r="U163" s="69">
        <f t="shared" si="1629"/>
        <v>3900</v>
      </c>
      <c r="V163" s="69">
        <f t="shared" si="1629"/>
        <v>14467.160212466701</v>
      </c>
      <c r="W163" s="69"/>
      <c r="X163" s="69">
        <f t="shared" ref="X163:AM163" si="1630">X164+X165</f>
        <v>2.6559943327599398</v>
      </c>
      <c r="Y163" s="69">
        <f t="shared" si="1630"/>
        <v>12.5165837584839</v>
      </c>
      <c r="Z163" s="69">
        <f t="shared" si="1630"/>
        <v>10.898324912716101</v>
      </c>
      <c r="AA163" s="69">
        <f t="shared" si="1630"/>
        <v>3971.1532445973398</v>
      </c>
      <c r="AB163" s="69">
        <f t="shared" si="1630"/>
        <v>19392.9797</v>
      </c>
      <c r="AC163" s="69">
        <f t="shared" si="1630"/>
        <v>1362.47113847266</v>
      </c>
      <c r="AD163" s="69">
        <f t="shared" si="1630"/>
        <v>1</v>
      </c>
      <c r="AE163" s="69">
        <f t="shared" si="1630"/>
        <v>0</v>
      </c>
      <c r="AF163" s="69">
        <f t="shared" si="1630"/>
        <v>124</v>
      </c>
      <c r="AG163" s="59">
        <f t="shared" si="1630"/>
        <v>110.5</v>
      </c>
      <c r="AH163" s="59">
        <f t="shared" si="1630"/>
        <v>1261.6954550585599</v>
      </c>
      <c r="AI163" s="69">
        <f t="shared" si="1630"/>
        <v>4.0370225197581604</v>
      </c>
      <c r="AJ163" s="59">
        <f t="shared" si="1630"/>
        <v>3.20802918156553</v>
      </c>
      <c r="AK163" s="59">
        <f t="shared" si="1630"/>
        <v>1482.58141140301</v>
      </c>
      <c r="AL163" s="69">
        <f t="shared" si="1630"/>
        <v>0</v>
      </c>
      <c r="AM163" s="69">
        <f t="shared" si="1630"/>
        <v>100</v>
      </c>
      <c r="AN163" s="69">
        <v>6</v>
      </c>
      <c r="AO163" s="69">
        <f t="shared" ref="AO163:AR163" si="1631">AO164+AO165</f>
        <v>3600</v>
      </c>
      <c r="AP163" s="69">
        <f t="shared" si="1631"/>
        <v>8170.1782830141301</v>
      </c>
      <c r="AQ163" s="69">
        <f t="shared" si="1631"/>
        <v>394.33999999999997</v>
      </c>
      <c r="AR163" s="69">
        <f t="shared" si="1631"/>
        <v>0</v>
      </c>
      <c r="AS163" s="69">
        <v>300</v>
      </c>
      <c r="AT163" s="69"/>
      <c r="AU163" s="69">
        <v>0</v>
      </c>
      <c r="AV163" s="71">
        <f t="shared" ref="AV163:BC163" si="1632">AV164+AV165</f>
        <v>73.180589145805399</v>
      </c>
      <c r="AW163" s="71">
        <v>1869.6275506125401</v>
      </c>
      <c r="AX163" s="69">
        <f t="shared" si="1632"/>
        <v>7594.2389272799801</v>
      </c>
      <c r="AY163" s="71">
        <f t="shared" si="1632"/>
        <v>0</v>
      </c>
      <c r="AZ163" s="71">
        <f t="shared" si="1632"/>
        <v>36584.867295625001</v>
      </c>
      <c r="BA163" s="71">
        <f t="shared" si="1632"/>
        <v>36859</v>
      </c>
      <c r="BB163" s="69">
        <f t="shared" si="1632"/>
        <v>33470.2406035237</v>
      </c>
      <c r="BC163" s="69">
        <f t="shared" si="1632"/>
        <v>3114.6266921012998</v>
      </c>
      <c r="BD163" s="336">
        <f t="shared" si="1458"/>
        <v>9.3056597022890805e-002</v>
      </c>
      <c r="BG163" s="340"/>
    </row>
    <row r="164" s="5" customFormat="1" ht="17" customHeight="1">
      <c r="A164" s="44"/>
      <c r="B164" s="72" t="s">
        <v>205</v>
      </c>
      <c r="C164" s="46">
        <v>2</v>
      </c>
      <c r="D164" s="46"/>
      <c r="E164" s="46"/>
      <c r="F164" s="46"/>
      <c r="G164" s="73"/>
      <c r="H164" s="59">
        <f t="shared" ref="H164:H170" si="1633">SUM(I164:M164)</f>
        <v>0</v>
      </c>
      <c r="I164" s="59">
        <f t="shared" ref="I164:I170" si="1634">IF(D164="",G164*0.6,0)</f>
        <v>0</v>
      </c>
      <c r="J164" s="59">
        <f t="shared" ref="J164:J170" si="1635">IF(D164=2017,G164*0.7,0)</f>
        <v>0</v>
      </c>
      <c r="K164" s="59">
        <f t="shared" ref="K164:K170" si="1636">IF(D164=2018,G164*0.8,0)</f>
        <v>0</v>
      </c>
      <c r="L164" s="59">
        <f t="shared" ref="L164:L170" si="1637">IF(D164=2019,G164*0.9,0)</f>
        <v>0</v>
      </c>
      <c r="M164" s="59">
        <f t="shared" ref="M164:M170" si="1638">IF(D164=2020,G164*1,0)</f>
        <v>0</v>
      </c>
      <c r="N164" s="59"/>
      <c r="O164" s="59"/>
      <c r="P164" s="59">
        <f>L164*0.4+M164*0.6+N164*0.8+O164*1</f>
        <v>0</v>
      </c>
      <c r="Q164" s="59"/>
      <c r="R164" s="59"/>
      <c r="S164" s="59"/>
      <c r="T164" s="59"/>
      <c r="U164" s="59"/>
      <c r="V164" s="59">
        <f>H164/$H$9*134866+N164/$N$9*202299+P164/$P$9*100000+U164/$U$9*34867</f>
        <v>0</v>
      </c>
      <c r="W164" s="59"/>
      <c r="X164" s="62"/>
      <c r="Y164" s="62"/>
      <c r="Z164" s="62"/>
      <c r="AA164" s="59"/>
      <c r="AB164" s="59"/>
      <c r="AC164" s="59"/>
      <c r="AD164" s="59"/>
      <c r="AE164" s="59"/>
      <c r="AF164" s="59"/>
      <c r="AG164" s="59">
        <f t="shared" ref="AG164:AG170" si="1639">AF164</f>
        <v>0</v>
      </c>
      <c r="AH164" s="59">
        <f t="shared" ref="AH164:AH170" si="1640">AG164/$AG$9*40459.89</f>
        <v>0</v>
      </c>
      <c r="AI164" s="59"/>
      <c r="AJ164" s="59">
        <f t="shared" ref="AJ164:AJ170" si="1641">AI164</f>
        <v>0</v>
      </c>
      <c r="AK164" s="59">
        <f t="shared" ref="AK164:AK170" si="1642">AJ164/$AJ$9*40459.89</f>
        <v>0</v>
      </c>
      <c r="AL164" s="59"/>
      <c r="AM164" s="59"/>
      <c r="AN164" s="59"/>
      <c r="AO164" s="59"/>
      <c r="AP164" s="59"/>
      <c r="AQ164" s="62"/>
      <c r="AR164" s="62"/>
      <c r="AS164" s="59"/>
      <c r="AT164" s="59"/>
      <c r="AU164" s="59"/>
      <c r="AV164" s="62"/>
      <c r="AW164" s="59">
        <v>0</v>
      </c>
      <c r="AX164" s="59"/>
      <c r="AY164" s="59"/>
      <c r="AZ164" s="59">
        <f t="shared" ref="AZ164:AZ170" si="1643">V164+AA164+AC164+AE164+AH164+AK164+AM164+AO164+AP164+AS164+AU164+AW164+AY164</f>
        <v>0</v>
      </c>
      <c r="BA164" s="73"/>
      <c r="BB164" s="170"/>
      <c r="BC164" s="50"/>
      <c r="BD164" s="43"/>
      <c r="BG164" s="340"/>
    </row>
    <row r="165" s="5" customFormat="1" ht="17" customHeight="1">
      <c r="A165" s="75"/>
      <c r="B165" s="76" t="s">
        <v>76</v>
      </c>
      <c r="C165" s="77">
        <v>3</v>
      </c>
      <c r="D165" s="77"/>
      <c r="E165" s="77"/>
      <c r="F165" s="78"/>
      <c r="G165" s="79">
        <f t="shared" ref="G165:P165" si="1644">SUM(G166:G170)</f>
        <v>163512</v>
      </c>
      <c r="H165" s="79">
        <f t="shared" si="1644"/>
        <v>146456.10000000001</v>
      </c>
      <c r="I165" s="79">
        <f t="shared" si="1644"/>
        <v>10342.799999999999</v>
      </c>
      <c r="J165" s="79">
        <f t="shared" si="1644"/>
        <v>10215.1</v>
      </c>
      <c r="K165" s="79">
        <f t="shared" si="1644"/>
        <v>0</v>
      </c>
      <c r="L165" s="79">
        <f t="shared" si="1644"/>
        <v>52045.199999999997</v>
      </c>
      <c r="M165" s="79">
        <f t="shared" si="1644"/>
        <v>73853</v>
      </c>
      <c r="N165" s="79">
        <f t="shared" si="1644"/>
        <v>29428</v>
      </c>
      <c r="O165" s="79">
        <f t="shared" si="1644"/>
        <v>24965</v>
      </c>
      <c r="P165" s="79">
        <f t="shared" si="1644"/>
        <v>12523.799999999999</v>
      </c>
      <c r="Q165" s="59">
        <v>1253</v>
      </c>
      <c r="R165" s="79">
        <f t="shared" ref="R165:V165" si="1645">SUM(R166:R170)</f>
        <v>0</v>
      </c>
      <c r="S165" s="79">
        <f t="shared" si="1645"/>
        <v>11772</v>
      </c>
      <c r="T165" s="79">
        <f t="shared" si="1645"/>
        <v>0</v>
      </c>
      <c r="U165" s="79">
        <f t="shared" si="1645"/>
        <v>3900</v>
      </c>
      <c r="V165" s="79">
        <f t="shared" si="1645"/>
        <v>14467.160212466701</v>
      </c>
      <c r="W165" s="79"/>
      <c r="X165" s="79">
        <f t="shared" ref="X165:AM165" si="1646">SUM(X166:X170)</f>
        <v>2.6559943327599398</v>
      </c>
      <c r="Y165" s="79">
        <f t="shared" si="1646"/>
        <v>12.5165837584839</v>
      </c>
      <c r="Z165" s="79">
        <f t="shared" si="1646"/>
        <v>10.898324912716101</v>
      </c>
      <c r="AA165" s="79">
        <f t="shared" si="1646"/>
        <v>3971.1532445973398</v>
      </c>
      <c r="AB165" s="79">
        <f t="shared" si="1646"/>
        <v>19392.9797</v>
      </c>
      <c r="AC165" s="79">
        <f t="shared" si="1646"/>
        <v>1362.47113847266</v>
      </c>
      <c r="AD165" s="79">
        <f t="shared" si="1646"/>
        <v>1</v>
      </c>
      <c r="AE165" s="79">
        <f t="shared" si="1646"/>
        <v>0</v>
      </c>
      <c r="AF165" s="79">
        <f t="shared" si="1646"/>
        <v>124</v>
      </c>
      <c r="AG165" s="59">
        <f t="shared" si="1646"/>
        <v>110.5</v>
      </c>
      <c r="AH165" s="59">
        <f t="shared" si="1646"/>
        <v>1261.6954550585599</v>
      </c>
      <c r="AI165" s="79">
        <f t="shared" si="1646"/>
        <v>4.0370225197581604</v>
      </c>
      <c r="AJ165" s="59">
        <f t="shared" si="1646"/>
        <v>3.20802918156553</v>
      </c>
      <c r="AK165" s="59">
        <f t="shared" si="1646"/>
        <v>1482.58141140301</v>
      </c>
      <c r="AL165" s="79">
        <f t="shared" si="1646"/>
        <v>0</v>
      </c>
      <c r="AM165" s="79">
        <f t="shared" si="1646"/>
        <v>100</v>
      </c>
      <c r="AN165" s="79">
        <v>6</v>
      </c>
      <c r="AO165" s="79">
        <f t="shared" ref="AO165:AR165" si="1647">SUM(AO166:AO170)</f>
        <v>3600</v>
      </c>
      <c r="AP165" s="79">
        <f t="shared" si="1647"/>
        <v>8170.1782830141301</v>
      </c>
      <c r="AQ165" s="79">
        <f t="shared" si="1647"/>
        <v>394.33999999999997</v>
      </c>
      <c r="AR165" s="79">
        <f t="shared" si="1647"/>
        <v>0</v>
      </c>
      <c r="AS165" s="79">
        <v>300</v>
      </c>
      <c r="AT165" s="79"/>
      <c r="AU165" s="79">
        <v>0</v>
      </c>
      <c r="AV165" s="81">
        <f t="shared" ref="AV165:BC165" si="1648">SUM(AV166:AV170)</f>
        <v>73.180589145805399</v>
      </c>
      <c r="AW165" s="81">
        <v>1869.6275506125401</v>
      </c>
      <c r="AX165" s="79">
        <f t="shared" si="1648"/>
        <v>7594.2389272799801</v>
      </c>
      <c r="AY165" s="81">
        <f t="shared" si="1648"/>
        <v>0</v>
      </c>
      <c r="AZ165" s="81">
        <f t="shared" si="1648"/>
        <v>36584.867295625001</v>
      </c>
      <c r="BA165" s="81">
        <f t="shared" si="1648"/>
        <v>36859</v>
      </c>
      <c r="BB165" s="79">
        <f t="shared" si="1648"/>
        <v>33470.2406035237</v>
      </c>
      <c r="BC165" s="79">
        <f t="shared" si="1648"/>
        <v>3114.6266921012998</v>
      </c>
      <c r="BD165" s="337">
        <f t="shared" si="1458"/>
        <v>9.3056597022890805e-002</v>
      </c>
      <c r="BG165" s="340"/>
    </row>
    <row r="166" ht="17" customHeight="1">
      <c r="A166" s="46">
        <v>110</v>
      </c>
      <c r="B166" s="82" t="s">
        <v>206</v>
      </c>
      <c r="C166" s="46" t="s">
        <v>78</v>
      </c>
      <c r="D166" s="46"/>
      <c r="E166" s="46"/>
      <c r="F166" s="46"/>
      <c r="G166" s="73">
        <v>1798</v>
      </c>
      <c r="H166" s="59">
        <f t="shared" si="1633"/>
        <v>1078.8</v>
      </c>
      <c r="I166" s="59">
        <f t="shared" si="1634"/>
        <v>1078.8</v>
      </c>
      <c r="J166" s="59">
        <f t="shared" si="1635"/>
        <v>0</v>
      </c>
      <c r="K166" s="59">
        <f t="shared" si="1636"/>
        <v>0</v>
      </c>
      <c r="L166" s="59">
        <f t="shared" si="1637"/>
        <v>0</v>
      </c>
      <c r="M166" s="59">
        <f t="shared" si="1638"/>
        <v>0</v>
      </c>
      <c r="N166" s="59">
        <v>461</v>
      </c>
      <c r="O166" s="59">
        <v>177</v>
      </c>
      <c r="P166" s="59">
        <f t="shared" ref="P166:P170" si="1649">Q166*0.6+R166*0.8+S166*1+T166*1.25</f>
        <v>0</v>
      </c>
      <c r="Q166" s="59"/>
      <c r="R166" s="59"/>
      <c r="S166" s="59"/>
      <c r="T166" s="59"/>
      <c r="U166" s="59">
        <v>36</v>
      </c>
      <c r="V166" s="59">
        <f t="shared" ref="V166:V170" si="1650">H166/$H$9*(134866+26973)+N166/$N$9*202299+P166/$P$9*100000+U166/$U$9*34867</f>
        <v>143.03912107601499</v>
      </c>
      <c r="W166" s="59">
        <v>14488.950000000001</v>
      </c>
      <c r="X166" s="62">
        <f t="shared" ref="X166:X170" si="1651">($W$64-W166)/($W$64-$W$44)</f>
        <v>0.18873426259718401</v>
      </c>
      <c r="Y166" s="62">
        <f t="shared" ref="Y166:Y170" si="1652">(G166+N166)*X166/10000</f>
        <v>4.2635069920703803e-002</v>
      </c>
      <c r="Z166" s="62">
        <f>Y166*0.2</f>
        <v>8.5270139841407706e-003</v>
      </c>
      <c r="AA166" s="59">
        <f t="shared" ref="AA166:AA170" si="1653">Z166/$Z$9*(1348663*0.1+30000)</f>
        <v>3.1070902658019901</v>
      </c>
      <c r="AB166" s="59">
        <v>126.56999999999999</v>
      </c>
      <c r="AC166" s="59">
        <f t="shared" ref="AC166:AC170" si="1654">(AB166/$AB$9*1348663*0.037)</f>
        <v>8.8922885840222108</v>
      </c>
      <c r="AD166" s="59"/>
      <c r="AE166" s="59"/>
      <c r="AF166" s="59">
        <v>7</v>
      </c>
      <c r="AG166" s="59">
        <f>AF166*0.5</f>
        <v>3.5</v>
      </c>
      <c r="AH166" s="59">
        <f t="shared" si="1640"/>
        <v>39.963204458868397</v>
      </c>
      <c r="AI166" s="59">
        <v>0.572265625</v>
      </c>
      <c r="AJ166" s="59">
        <f>AI166*0.5</f>
        <v>0.2861328125</v>
      </c>
      <c r="AK166" s="59">
        <f t="shared" si="1642"/>
        <v>132.235452047211</v>
      </c>
      <c r="AL166" s="338"/>
      <c r="AM166" s="59"/>
      <c r="AN166" s="59">
        <v>1</v>
      </c>
      <c r="AO166" s="59">
        <f t="shared" ref="AO166:AO170" si="1655">AN166*600</f>
        <v>600</v>
      </c>
      <c r="AP166" s="59"/>
      <c r="AQ166" s="62">
        <v>87.859999999999999</v>
      </c>
      <c r="AR166" s="62" t="s">
        <v>442</v>
      </c>
      <c r="AS166" s="59">
        <v>300</v>
      </c>
      <c r="AT166" s="59" t="s">
        <v>443</v>
      </c>
      <c r="AU166" s="59"/>
      <c r="AV166" s="62">
        <v>13.4747755726198</v>
      </c>
      <c r="AW166" s="59">
        <f t="shared" si="1466"/>
        <v>344.255381692767</v>
      </c>
      <c r="AX166" s="59">
        <v>1252.68203227762</v>
      </c>
      <c r="AY166" s="59"/>
      <c r="AZ166" s="59">
        <f t="shared" si="1643"/>
        <v>1571.4925381246901</v>
      </c>
      <c r="BA166" s="59">
        <v>1257</v>
      </c>
      <c r="BB166" s="59">
        <f t="shared" ref="BB166:BB170" si="1656">BA166/$BA$9*1348663</f>
        <v>1141.4333660335101</v>
      </c>
      <c r="BC166" s="59">
        <f t="shared" ref="BC166:BC170" si="1657">AZ166-BB166</f>
        <v>430.05917209117302</v>
      </c>
      <c r="BD166" s="43">
        <f t="shared" ref="BD166:BD194" si="1658">BC166/BB166</f>
        <v>0.37677115886810902</v>
      </c>
      <c r="BG166" s="340"/>
    </row>
    <row r="167" ht="17" customHeight="1">
      <c r="A167" s="46">
        <v>111</v>
      </c>
      <c r="B167" s="82" t="s">
        <v>208</v>
      </c>
      <c r="C167" s="46" t="s">
        <v>90</v>
      </c>
      <c r="D167" s="46">
        <v>2019</v>
      </c>
      <c r="E167" s="46" t="s">
        <v>91</v>
      </c>
      <c r="F167" s="46"/>
      <c r="G167" s="73">
        <v>57828</v>
      </c>
      <c r="H167" s="59">
        <f t="shared" si="1633"/>
        <v>52045.199999999997</v>
      </c>
      <c r="I167" s="59">
        <f t="shared" si="1634"/>
        <v>0</v>
      </c>
      <c r="J167" s="59">
        <f t="shared" si="1635"/>
        <v>0</v>
      </c>
      <c r="K167" s="59">
        <f t="shared" si="1636"/>
        <v>0</v>
      </c>
      <c r="L167" s="59">
        <f t="shared" si="1637"/>
        <v>52045.199999999997</v>
      </c>
      <c r="M167" s="59">
        <f t="shared" si="1638"/>
        <v>0</v>
      </c>
      <c r="N167" s="59">
        <v>10560</v>
      </c>
      <c r="O167" s="59">
        <v>2624</v>
      </c>
      <c r="P167" s="59">
        <f t="shared" si="1649"/>
        <v>751.79999999999995</v>
      </c>
      <c r="Q167" s="59">
        <v>1253</v>
      </c>
      <c r="R167" s="59"/>
      <c r="S167" s="59"/>
      <c r="T167" s="59"/>
      <c r="U167" s="59">
        <v>912</v>
      </c>
      <c r="V167" s="59">
        <f t="shared" si="1650"/>
        <v>4236.8011989749402</v>
      </c>
      <c r="W167" s="59">
        <v>11086.49</v>
      </c>
      <c r="X167" s="62">
        <f t="shared" si="1651"/>
        <v>0.73778203071798998</v>
      </c>
      <c r="Y167" s="62">
        <f t="shared" si="1652"/>
        <v>5.0455437516741899</v>
      </c>
      <c r="Z167" s="62">
        <f>Y167*1</f>
        <v>5.0455437516741899</v>
      </c>
      <c r="AA167" s="59">
        <f t="shared" si="1653"/>
        <v>1838.5052382536501</v>
      </c>
      <c r="AB167" s="59">
        <v>5934.8999999999996</v>
      </c>
      <c r="AC167" s="59">
        <f t="shared" si="1654"/>
        <v>416.961709072556</v>
      </c>
      <c r="AD167" s="59"/>
      <c r="AE167" s="59"/>
      <c r="AF167" s="59">
        <v>40</v>
      </c>
      <c r="AG167" s="59">
        <f t="shared" si="1639"/>
        <v>40</v>
      </c>
      <c r="AH167" s="59">
        <f t="shared" si="1640"/>
        <v>456.72233667278101</v>
      </c>
      <c r="AI167" s="59">
        <v>1</v>
      </c>
      <c r="AJ167" s="59">
        <f t="shared" si="1641"/>
        <v>1</v>
      </c>
      <c r="AK167" s="59">
        <f t="shared" si="1642"/>
        <v>462.147108861243</v>
      </c>
      <c r="AL167" s="338"/>
      <c r="AM167" s="59"/>
      <c r="AN167" s="59">
        <v>1</v>
      </c>
      <c r="AO167" s="59">
        <f t="shared" si="1655"/>
        <v>600</v>
      </c>
      <c r="AP167" s="59"/>
      <c r="AQ167" s="62">
        <v>73.650000000000006</v>
      </c>
      <c r="AR167" s="62" t="s">
        <v>440</v>
      </c>
      <c r="AS167" s="59"/>
      <c r="AT167" s="59" t="s">
        <v>443</v>
      </c>
      <c r="AU167" s="59"/>
      <c r="AV167" s="62">
        <v>15.2154840909441</v>
      </c>
      <c r="AW167" s="59">
        <f t="shared" ref="AW167:AW194" si="1659">AV167/$AV$9*35993</f>
        <v>388.72723743255602</v>
      </c>
      <c r="AX167" s="59">
        <v>1627.19365667541</v>
      </c>
      <c r="AY167" s="59"/>
      <c r="AZ167" s="59">
        <f t="shared" si="1643"/>
        <v>8399.8648292677299</v>
      </c>
      <c r="BA167" s="59">
        <v>9212</v>
      </c>
      <c r="BB167" s="59">
        <f t="shared" si="1656"/>
        <v>8365.0629816234905</v>
      </c>
      <c r="BC167" s="59">
        <f t="shared" si="1657"/>
        <v>34.801847644239402</v>
      </c>
      <c r="BD167" s="43">
        <f t="shared" si="1658"/>
        <v>4.1603808268619903e-003</v>
      </c>
      <c r="BG167" s="340"/>
    </row>
    <row r="168" ht="17" customHeight="1">
      <c r="A168" s="46">
        <v>112</v>
      </c>
      <c r="B168" s="82" t="s">
        <v>209</v>
      </c>
      <c r="C168" s="46" t="s">
        <v>78</v>
      </c>
      <c r="D168" s="46"/>
      <c r="E168" s="46"/>
      <c r="F168" s="46"/>
      <c r="G168" s="73">
        <v>15440</v>
      </c>
      <c r="H168" s="59">
        <f t="shared" si="1633"/>
        <v>9264</v>
      </c>
      <c r="I168" s="59">
        <f t="shared" si="1634"/>
        <v>9264</v>
      </c>
      <c r="J168" s="59">
        <f t="shared" si="1635"/>
        <v>0</v>
      </c>
      <c r="K168" s="59">
        <f t="shared" si="1636"/>
        <v>0</v>
      </c>
      <c r="L168" s="59">
        <f t="shared" si="1637"/>
        <v>0</v>
      </c>
      <c r="M168" s="59">
        <f t="shared" si="1638"/>
        <v>0</v>
      </c>
      <c r="N168" s="59">
        <v>4362</v>
      </c>
      <c r="O168" s="59">
        <v>744</v>
      </c>
      <c r="P168" s="59">
        <f t="shared" si="1649"/>
        <v>0</v>
      </c>
      <c r="Q168" s="59"/>
      <c r="R168" s="59"/>
      <c r="S168" s="59"/>
      <c r="T168" s="59"/>
      <c r="U168" s="59">
        <v>438</v>
      </c>
      <c r="V168" s="59">
        <f t="shared" si="1650"/>
        <v>1349.74528584372</v>
      </c>
      <c r="W168" s="59">
        <v>10268.18</v>
      </c>
      <c r="X168" s="62">
        <f t="shared" si="1651"/>
        <v>0.86983098327906005</v>
      </c>
      <c r="Y168" s="62">
        <f t="shared" si="1652"/>
        <v>1.72243931308919</v>
      </c>
      <c r="Z168" s="62">
        <f>Y168*0.2</f>
        <v>0.34448786261783898</v>
      </c>
      <c r="AA168" s="59">
        <f t="shared" si="1653"/>
        <v>125.525170548278</v>
      </c>
      <c r="AB168" s="59">
        <v>4747.6700000000001</v>
      </c>
      <c r="AC168" s="59">
        <f t="shared" si="1654"/>
        <v>333.55180328438598</v>
      </c>
      <c r="AD168" s="59"/>
      <c r="AE168" s="59"/>
      <c r="AF168" s="59">
        <v>20</v>
      </c>
      <c r="AG168" s="59">
        <f>AF168*0.5</f>
        <v>10</v>
      </c>
      <c r="AH168" s="59">
        <f t="shared" si="1640"/>
        <v>114.180584168195</v>
      </c>
      <c r="AI168" s="59">
        <v>1.08572105138527</v>
      </c>
      <c r="AJ168" s="59">
        <f>AI168*0.5</f>
        <v>0.54286052569263499</v>
      </c>
      <c r="AK168" s="59">
        <f t="shared" si="1642"/>
        <v>250.88142246374599</v>
      </c>
      <c r="AL168" s="338"/>
      <c r="AM168" s="59"/>
      <c r="AN168" s="59">
        <v>1</v>
      </c>
      <c r="AO168" s="59">
        <f t="shared" si="1655"/>
        <v>600</v>
      </c>
      <c r="AP168" s="59"/>
      <c r="AQ168" s="62">
        <v>76.019999999999996</v>
      </c>
      <c r="AR168" s="62" t="s">
        <v>440</v>
      </c>
      <c r="AS168" s="59"/>
      <c r="AT168" s="59" t="s">
        <v>443</v>
      </c>
      <c r="AU168" s="59"/>
      <c r="AV168" s="62">
        <v>14.412131279595901</v>
      </c>
      <c r="AW168" s="59">
        <f t="shared" si="1659"/>
        <v>368.20307157805502</v>
      </c>
      <c r="AX168" s="59">
        <v>0</v>
      </c>
      <c r="AY168" s="59"/>
      <c r="AZ168" s="59">
        <f t="shared" si="1643"/>
        <v>3142.0873378863798</v>
      </c>
      <c r="BA168" s="59">
        <v>1938</v>
      </c>
      <c r="BB168" s="59">
        <f t="shared" si="1656"/>
        <v>1759.82328032852</v>
      </c>
      <c r="BC168" s="59">
        <f t="shared" si="1657"/>
        <v>1382.26405755786</v>
      </c>
      <c r="BD168" s="43">
        <f t="shared" si="1658"/>
        <v>0.78545617222419395</v>
      </c>
      <c r="BG168" s="340"/>
    </row>
    <row r="169" ht="17" customHeight="1">
      <c r="A169" s="46">
        <v>113</v>
      </c>
      <c r="B169" s="82" t="s">
        <v>210</v>
      </c>
      <c r="C169" s="46" t="s">
        <v>93</v>
      </c>
      <c r="D169" s="46">
        <v>2020</v>
      </c>
      <c r="E169" s="46" t="s">
        <v>94</v>
      </c>
      <c r="F169" s="46"/>
      <c r="G169" s="73">
        <v>73853</v>
      </c>
      <c r="H169" s="59">
        <f t="shared" si="1633"/>
        <v>73853</v>
      </c>
      <c r="I169" s="59">
        <f t="shared" si="1634"/>
        <v>0</v>
      </c>
      <c r="J169" s="59">
        <f t="shared" si="1635"/>
        <v>0</v>
      </c>
      <c r="K169" s="59">
        <f t="shared" si="1636"/>
        <v>0</v>
      </c>
      <c r="L169" s="59">
        <f t="shared" si="1637"/>
        <v>0</v>
      </c>
      <c r="M169" s="59">
        <f t="shared" si="1638"/>
        <v>73853</v>
      </c>
      <c r="N169" s="59">
        <v>11321</v>
      </c>
      <c r="O169" s="59">
        <v>20405</v>
      </c>
      <c r="P169" s="59">
        <f t="shared" si="1649"/>
        <v>11772</v>
      </c>
      <c r="Q169" s="59">
        <v>0</v>
      </c>
      <c r="R169" s="59"/>
      <c r="S169" s="59">
        <v>11772</v>
      </c>
      <c r="T169" s="59"/>
      <c r="U169" s="59">
        <v>2101</v>
      </c>
      <c r="V169" s="59">
        <f t="shared" si="1650"/>
        <v>7736.2857188868302</v>
      </c>
      <c r="W169" s="59">
        <v>11807.09</v>
      </c>
      <c r="X169" s="62">
        <f t="shared" si="1651"/>
        <v>0.62150033403151805</v>
      </c>
      <c r="Y169" s="62">
        <f t="shared" si="1652"/>
        <v>5.2935669450800598</v>
      </c>
      <c r="Z169" s="62">
        <f>Y169*1</f>
        <v>5.2935669450800598</v>
      </c>
      <c r="AA169" s="59">
        <f t="shared" si="1653"/>
        <v>1928.88042133154</v>
      </c>
      <c r="AB169" s="59">
        <v>6466.2397000000001</v>
      </c>
      <c r="AC169" s="59">
        <f t="shared" si="1654"/>
        <v>454.29145505144299</v>
      </c>
      <c r="AD169" s="59">
        <v>1</v>
      </c>
      <c r="AE169" s="59"/>
      <c r="AF169" s="59">
        <v>38</v>
      </c>
      <c r="AG169" s="59">
        <f t="shared" si="1639"/>
        <v>38</v>
      </c>
      <c r="AH169" s="59">
        <f t="shared" si="1640"/>
        <v>433.88621983914197</v>
      </c>
      <c r="AI169" s="59">
        <v>0.529989094874591</v>
      </c>
      <c r="AJ169" s="59">
        <f t="shared" si="1641"/>
        <v>0.529989094874591</v>
      </c>
      <c r="AK169" s="59">
        <f t="shared" si="1642"/>
        <v>244.932927924279</v>
      </c>
      <c r="AL169" s="338" t="s">
        <v>1544</v>
      </c>
      <c r="AM169" s="59">
        <v>100</v>
      </c>
      <c r="AN169" s="59">
        <v>2</v>
      </c>
      <c r="AO169" s="59">
        <f t="shared" si="1655"/>
        <v>1200</v>
      </c>
      <c r="AP169" s="59">
        <f>5000+BF169+N169/470414*13615</f>
        <v>8170.1782830141301</v>
      </c>
      <c r="AQ169" s="62">
        <v>78.310000000000002</v>
      </c>
      <c r="AR169" s="62" t="s">
        <v>440</v>
      </c>
      <c r="AS169" s="59"/>
      <c r="AT169" s="59" t="s">
        <v>443</v>
      </c>
      <c r="AU169" s="59"/>
      <c r="AV169" s="62">
        <v>14.937352510939601</v>
      </c>
      <c r="AW169" s="59">
        <f t="shared" si="1659"/>
        <v>381.621494355854</v>
      </c>
      <c r="AX169" s="59">
        <v>2475</v>
      </c>
      <c r="AY169" s="59"/>
      <c r="AZ169" s="59">
        <f t="shared" si="1643"/>
        <v>20650.0765204032</v>
      </c>
      <c r="BA169" s="59">
        <v>22380</v>
      </c>
      <c r="BB169" s="59">
        <f t="shared" si="1656"/>
        <v>20322.417447756601</v>
      </c>
      <c r="BC169" s="59">
        <f t="shared" si="1657"/>
        <v>327.65907264664202</v>
      </c>
      <c r="BD169" s="43">
        <f t="shared" si="1658"/>
        <v>1.6123036222878698e-002</v>
      </c>
      <c r="BF169" s="341">
        <v>2842.5192103674799</v>
      </c>
      <c r="BG169" s="339"/>
    </row>
    <row r="170" ht="17" customHeight="1">
      <c r="A170" s="46">
        <v>114</v>
      </c>
      <c r="B170" s="82" t="s">
        <v>207</v>
      </c>
      <c r="C170" s="46" t="s">
        <v>90</v>
      </c>
      <c r="D170" s="46">
        <v>2017</v>
      </c>
      <c r="E170" s="46"/>
      <c r="F170" s="46"/>
      <c r="G170" s="73">
        <v>14593</v>
      </c>
      <c r="H170" s="59">
        <f t="shared" si="1633"/>
        <v>10215.1</v>
      </c>
      <c r="I170" s="59">
        <f t="shared" si="1634"/>
        <v>0</v>
      </c>
      <c r="J170" s="59">
        <f t="shared" si="1635"/>
        <v>10215.1</v>
      </c>
      <c r="K170" s="59">
        <f t="shared" si="1636"/>
        <v>0</v>
      </c>
      <c r="L170" s="59">
        <f t="shared" si="1637"/>
        <v>0</v>
      </c>
      <c r="M170" s="59">
        <f t="shared" si="1638"/>
        <v>0</v>
      </c>
      <c r="N170" s="59">
        <v>2724</v>
      </c>
      <c r="O170" s="59">
        <v>1015</v>
      </c>
      <c r="P170" s="59">
        <f t="shared" si="1649"/>
        <v>0</v>
      </c>
      <c r="Q170" s="59"/>
      <c r="R170" s="59"/>
      <c r="S170" s="59"/>
      <c r="T170" s="59"/>
      <c r="U170" s="59">
        <v>413</v>
      </c>
      <c r="V170" s="59">
        <f t="shared" si="1650"/>
        <v>1001.28888768523</v>
      </c>
      <c r="W170" s="59">
        <v>14182.74</v>
      </c>
      <c r="X170" s="62">
        <f t="shared" si="1651"/>
        <v>0.238146722134187</v>
      </c>
      <c r="Y170" s="62">
        <f t="shared" si="1652"/>
        <v>0.41239867871977198</v>
      </c>
      <c r="Z170" s="62">
        <f>Y170*0.5</f>
        <v>0.20619933935988599</v>
      </c>
      <c r="AA170" s="59">
        <f t="shared" si="1653"/>
        <v>75.135324198071103</v>
      </c>
      <c r="AB170" s="59">
        <v>2117.5999999999999</v>
      </c>
      <c r="AC170" s="59">
        <f t="shared" si="1654"/>
        <v>148.77388248025099</v>
      </c>
      <c r="AD170" s="59"/>
      <c r="AE170" s="59"/>
      <c r="AF170" s="59">
        <v>19</v>
      </c>
      <c r="AG170" s="59">
        <f t="shared" si="1639"/>
        <v>19</v>
      </c>
      <c r="AH170" s="59">
        <f t="shared" si="1640"/>
        <v>216.94310991957099</v>
      </c>
      <c r="AI170" s="59">
        <v>0.84904674849830197</v>
      </c>
      <c r="AJ170" s="59">
        <f t="shared" si="1641"/>
        <v>0.84904674849830197</v>
      </c>
      <c r="AK170" s="59">
        <f t="shared" si="1642"/>
        <v>392.384500106529</v>
      </c>
      <c r="AL170" s="338"/>
      <c r="AM170" s="59"/>
      <c r="AN170" s="59">
        <v>1</v>
      </c>
      <c r="AO170" s="59">
        <f t="shared" si="1655"/>
        <v>600</v>
      </c>
      <c r="AP170" s="59"/>
      <c r="AQ170" s="62">
        <v>78.5</v>
      </c>
      <c r="AR170" s="62" t="s">
        <v>440</v>
      </c>
      <c r="AS170" s="59"/>
      <c r="AT170" s="59" t="s">
        <v>443</v>
      </c>
      <c r="AU170" s="59"/>
      <c r="AV170" s="62">
        <v>15.140845691706</v>
      </c>
      <c r="AW170" s="59">
        <f t="shared" si="1659"/>
        <v>386.82036555330501</v>
      </c>
      <c r="AX170" s="59">
        <v>2239.3632383269501</v>
      </c>
      <c r="AY170" s="59"/>
      <c r="AZ170" s="59">
        <f t="shared" si="1643"/>
        <v>2821.3460699429602</v>
      </c>
      <c r="BA170" s="59">
        <v>2072</v>
      </c>
      <c r="BB170" s="59">
        <f t="shared" si="1656"/>
        <v>1881.50352778157</v>
      </c>
      <c r="BC170" s="59">
        <f t="shared" si="1657"/>
        <v>939.84254216138299</v>
      </c>
      <c r="BD170" s="43">
        <f t="shared" si="1658"/>
        <v>0.49951675789283501</v>
      </c>
      <c r="BG170" s="340"/>
    </row>
    <row r="171" s="5" customFormat="1" ht="17" customHeight="1">
      <c r="A171" s="65"/>
      <c r="B171" s="66" t="s">
        <v>211</v>
      </c>
      <c r="C171" s="67">
        <v>1</v>
      </c>
      <c r="D171" s="67"/>
      <c r="E171" s="67"/>
      <c r="F171" s="68"/>
      <c r="G171" s="69">
        <f t="shared" ref="G171:P171" si="1660">G172+G173</f>
        <v>229768</v>
      </c>
      <c r="H171" s="69">
        <f t="shared" si="1660"/>
        <v>228035.60000000001</v>
      </c>
      <c r="I171" s="69">
        <f t="shared" si="1660"/>
        <v>0</v>
      </c>
      <c r="J171" s="69">
        <f t="shared" si="1660"/>
        <v>0</v>
      </c>
      <c r="K171" s="69">
        <f t="shared" si="1660"/>
        <v>0</v>
      </c>
      <c r="L171" s="69">
        <f t="shared" si="1660"/>
        <v>15591.6</v>
      </c>
      <c r="M171" s="69">
        <f t="shared" si="1660"/>
        <v>212444</v>
      </c>
      <c r="N171" s="69">
        <f t="shared" si="1660"/>
        <v>41805</v>
      </c>
      <c r="O171" s="69">
        <f t="shared" si="1660"/>
        <v>95859</v>
      </c>
      <c r="P171" s="69">
        <f t="shared" si="1660"/>
        <v>75881.350000000006</v>
      </c>
      <c r="Q171" s="59">
        <v>16227</v>
      </c>
      <c r="R171" s="69">
        <f t="shared" ref="R171:V171" si="1661">R172+R173</f>
        <v>16578</v>
      </c>
      <c r="S171" s="69">
        <f t="shared" si="1661"/>
        <v>48644</v>
      </c>
      <c r="T171" s="69">
        <f t="shared" si="1661"/>
        <v>3391</v>
      </c>
      <c r="U171" s="69">
        <f t="shared" si="1661"/>
        <v>2100</v>
      </c>
      <c r="V171" s="69">
        <f t="shared" si="1661"/>
        <v>33109.636745778902</v>
      </c>
      <c r="W171" s="69"/>
      <c r="X171" s="69">
        <f t="shared" ref="X171:AM171" si="1662">X172+X173</f>
        <v>2.3891096042936799</v>
      </c>
      <c r="Y171" s="69">
        <f t="shared" si="1662"/>
        <v>16.7246346656942</v>
      </c>
      <c r="Z171" s="69">
        <f t="shared" si="1662"/>
        <v>16.7246346656942</v>
      </c>
      <c r="AA171" s="69">
        <f t="shared" si="1662"/>
        <v>6094.1555467742201</v>
      </c>
      <c r="AB171" s="69">
        <f t="shared" si="1662"/>
        <v>16172.68</v>
      </c>
      <c r="AC171" s="69">
        <f t="shared" si="1662"/>
        <v>1136.22610205455</v>
      </c>
      <c r="AD171" s="69">
        <f t="shared" si="1662"/>
        <v>0</v>
      </c>
      <c r="AE171" s="69">
        <f t="shared" si="1662"/>
        <v>0</v>
      </c>
      <c r="AF171" s="69">
        <f t="shared" si="1662"/>
        <v>68</v>
      </c>
      <c r="AG171" s="59">
        <f t="shared" si="1662"/>
        <v>68</v>
      </c>
      <c r="AH171" s="59">
        <f t="shared" si="1662"/>
        <v>776.42797234372802</v>
      </c>
      <c r="AI171" s="69">
        <f t="shared" si="1662"/>
        <v>2.3648402148676002</v>
      </c>
      <c r="AJ171" s="59">
        <f t="shared" si="1662"/>
        <v>2.3648402148676002</v>
      </c>
      <c r="AK171" s="59">
        <f t="shared" si="1662"/>
        <v>1092.9040682198599</v>
      </c>
      <c r="AL171" s="69">
        <f t="shared" si="1662"/>
        <v>0</v>
      </c>
      <c r="AM171" s="69">
        <f t="shared" si="1662"/>
        <v>100</v>
      </c>
      <c r="AN171" s="69">
        <v>8</v>
      </c>
      <c r="AO171" s="69">
        <f t="shared" ref="AO171:AR171" si="1663">AO172+AO173</f>
        <v>4800</v>
      </c>
      <c r="AP171" s="69">
        <f t="shared" si="1663"/>
        <v>85740.076808786194</v>
      </c>
      <c r="AQ171" s="69">
        <f t="shared" si="1663"/>
        <v>310.94999999999999</v>
      </c>
      <c r="AR171" s="69">
        <f t="shared" si="1663"/>
        <v>0</v>
      </c>
      <c r="AS171" s="69">
        <v>600</v>
      </c>
      <c r="AT171" s="69"/>
      <c r="AU171" s="69">
        <v>3200</v>
      </c>
      <c r="AV171" s="71">
        <f t="shared" ref="AV171:BC171" si="1664">AV172+AV173</f>
        <v>66.774403328060799</v>
      </c>
      <c r="AW171" s="71">
        <v>1705.9614522796101</v>
      </c>
      <c r="AX171" s="69">
        <f t="shared" si="1664"/>
        <v>4981.7931456637698</v>
      </c>
      <c r="AY171" s="71">
        <f t="shared" si="1664"/>
        <v>0</v>
      </c>
      <c r="AZ171" s="71">
        <f t="shared" si="1664"/>
        <v>138355.388696237</v>
      </c>
      <c r="BA171" s="71">
        <f t="shared" si="1664"/>
        <v>151031</v>
      </c>
      <c r="BB171" s="69">
        <f t="shared" si="1664"/>
        <v>137145.44367971999</v>
      </c>
      <c r="BC171" s="69">
        <f t="shared" si="1664"/>
        <v>1209.9450165174301</v>
      </c>
      <c r="BD171" s="336">
        <f t="shared" si="1658"/>
        <v>8.8223493544784502e-003</v>
      </c>
      <c r="BG171" s="340"/>
    </row>
    <row r="172" s="5" customFormat="1" ht="17" customHeight="1">
      <c r="A172" s="44"/>
      <c r="B172" s="72" t="s">
        <v>212</v>
      </c>
      <c r="C172" s="46">
        <v>2</v>
      </c>
      <c r="D172" s="46"/>
      <c r="E172" s="46"/>
      <c r="F172" s="46"/>
      <c r="G172" s="73"/>
      <c r="H172" s="59">
        <f t="shared" ref="H172:H177" si="1665">SUM(I172:M172)</f>
        <v>0</v>
      </c>
      <c r="I172" s="59">
        <f t="shared" ref="I172:I177" si="1666">IF(D172="",G172*0.6,0)</f>
        <v>0</v>
      </c>
      <c r="J172" s="59">
        <f t="shared" ref="J172:J177" si="1667">IF(D172=2017,G172*0.7,0)</f>
        <v>0</v>
      </c>
      <c r="K172" s="59">
        <f t="shared" ref="K172:K177" si="1668">IF(D172=2018,G172*0.8,0)</f>
        <v>0</v>
      </c>
      <c r="L172" s="59">
        <f t="shared" ref="L172:L177" si="1669">IF(D172=2019,G172*0.9,0)</f>
        <v>0</v>
      </c>
      <c r="M172" s="59">
        <f t="shared" ref="M172:M177" si="1670">IF(D172=2020,G172*1,0)</f>
        <v>0</v>
      </c>
      <c r="N172" s="59"/>
      <c r="O172" s="59"/>
      <c r="P172" s="59">
        <f>L172*0.4+M172*0.6+N172*0.8+O172*1</f>
        <v>0</v>
      </c>
      <c r="Q172" s="59"/>
      <c r="R172" s="59"/>
      <c r="S172" s="59"/>
      <c r="T172" s="59"/>
      <c r="U172" s="59"/>
      <c r="V172" s="59">
        <f>H172/$H$9*134866+N172/$N$9*202299+P172/$P$9*100000+U172/$U$9*34867</f>
        <v>0</v>
      </c>
      <c r="W172" s="59"/>
      <c r="X172" s="62"/>
      <c r="Y172" s="62"/>
      <c r="Z172" s="62"/>
      <c r="AA172" s="59"/>
      <c r="AB172" s="59"/>
      <c r="AC172" s="59"/>
      <c r="AD172" s="59"/>
      <c r="AE172" s="59"/>
      <c r="AF172" s="59"/>
      <c r="AG172" s="59">
        <f t="shared" ref="AG172:AG177" si="1671">AF172</f>
        <v>0</v>
      </c>
      <c r="AH172" s="59">
        <f t="shared" ref="AH172:AH177" si="1672">AG172/$AG$9*40459.89</f>
        <v>0</v>
      </c>
      <c r="AI172" s="59"/>
      <c r="AJ172" s="59">
        <f t="shared" ref="AJ172:AJ177" si="1673">AI172</f>
        <v>0</v>
      </c>
      <c r="AK172" s="59">
        <f t="shared" ref="AK172:AK177" si="1674">AJ172/$AJ$9*40459.89</f>
        <v>0</v>
      </c>
      <c r="AL172" s="59"/>
      <c r="AM172" s="59"/>
      <c r="AN172" s="59"/>
      <c r="AO172" s="59"/>
      <c r="AP172" s="59"/>
      <c r="AQ172" s="62"/>
      <c r="AR172" s="62"/>
      <c r="AS172" s="59"/>
      <c r="AT172" s="59"/>
      <c r="AU172" s="59"/>
      <c r="AV172" s="62"/>
      <c r="AW172" s="59">
        <v>0</v>
      </c>
      <c r="AX172" s="59"/>
      <c r="AY172" s="59"/>
      <c r="AZ172" s="59">
        <f t="shared" ref="AZ172:AZ177" si="1675">V172+AA172+AC172+AE172+AH172+AK172+AM172+AO172+AP172+AS172+AU172+AW172+AY172</f>
        <v>0</v>
      </c>
      <c r="BA172" s="73"/>
      <c r="BB172" s="170"/>
      <c r="BC172" s="50"/>
      <c r="BD172" s="43"/>
      <c r="BG172" s="340"/>
    </row>
    <row r="173" s="5" customFormat="1" ht="17" customHeight="1">
      <c r="A173" s="75"/>
      <c r="B173" s="76" t="s">
        <v>76</v>
      </c>
      <c r="C173" s="77">
        <v>3</v>
      </c>
      <c r="D173" s="77"/>
      <c r="E173" s="77"/>
      <c r="F173" s="78"/>
      <c r="G173" s="79">
        <f t="shared" ref="G173:P173" si="1676">SUM(G174:G177)</f>
        <v>229768</v>
      </c>
      <c r="H173" s="79">
        <f t="shared" si="1676"/>
        <v>228035.60000000001</v>
      </c>
      <c r="I173" s="79">
        <f t="shared" si="1676"/>
        <v>0</v>
      </c>
      <c r="J173" s="79">
        <f t="shared" si="1676"/>
        <v>0</v>
      </c>
      <c r="K173" s="79">
        <f t="shared" si="1676"/>
        <v>0</v>
      </c>
      <c r="L173" s="79">
        <f t="shared" si="1676"/>
        <v>15591.6</v>
      </c>
      <c r="M173" s="79">
        <f t="shared" si="1676"/>
        <v>212444</v>
      </c>
      <c r="N173" s="79">
        <f t="shared" si="1676"/>
        <v>41805</v>
      </c>
      <c r="O173" s="79">
        <f t="shared" si="1676"/>
        <v>95859</v>
      </c>
      <c r="P173" s="79">
        <f t="shared" si="1676"/>
        <v>75881.350000000006</v>
      </c>
      <c r="Q173" s="59">
        <v>16227</v>
      </c>
      <c r="R173" s="79">
        <f t="shared" ref="R173:V173" si="1677">SUM(R174:R177)</f>
        <v>16578</v>
      </c>
      <c r="S173" s="79">
        <f t="shared" si="1677"/>
        <v>48644</v>
      </c>
      <c r="T173" s="79">
        <f t="shared" si="1677"/>
        <v>3391</v>
      </c>
      <c r="U173" s="79">
        <f t="shared" si="1677"/>
        <v>2100</v>
      </c>
      <c r="V173" s="79">
        <f t="shared" si="1677"/>
        <v>33109.636745778902</v>
      </c>
      <c r="W173" s="79"/>
      <c r="X173" s="79">
        <f t="shared" ref="X173:AM173" si="1678">SUM(X174:X177)</f>
        <v>2.3891096042936799</v>
      </c>
      <c r="Y173" s="79">
        <f t="shared" si="1678"/>
        <v>16.7246346656942</v>
      </c>
      <c r="Z173" s="79">
        <f t="shared" si="1678"/>
        <v>16.7246346656942</v>
      </c>
      <c r="AA173" s="79">
        <f t="shared" si="1678"/>
        <v>6094.1555467742201</v>
      </c>
      <c r="AB173" s="79">
        <f t="shared" si="1678"/>
        <v>16172.68</v>
      </c>
      <c r="AC173" s="79">
        <f t="shared" si="1678"/>
        <v>1136.22610205455</v>
      </c>
      <c r="AD173" s="79">
        <f t="shared" si="1678"/>
        <v>0</v>
      </c>
      <c r="AE173" s="79">
        <f t="shared" si="1678"/>
        <v>0</v>
      </c>
      <c r="AF173" s="79">
        <f t="shared" si="1678"/>
        <v>68</v>
      </c>
      <c r="AG173" s="59">
        <f t="shared" si="1678"/>
        <v>68</v>
      </c>
      <c r="AH173" s="59">
        <f t="shared" si="1678"/>
        <v>776.42797234372802</v>
      </c>
      <c r="AI173" s="79">
        <f t="shared" si="1678"/>
        <v>2.3648402148676002</v>
      </c>
      <c r="AJ173" s="59">
        <f t="shared" si="1678"/>
        <v>2.3648402148676002</v>
      </c>
      <c r="AK173" s="59">
        <f t="shared" si="1678"/>
        <v>1092.9040682198599</v>
      </c>
      <c r="AL173" s="79">
        <f t="shared" si="1678"/>
        <v>0</v>
      </c>
      <c r="AM173" s="79">
        <f t="shared" si="1678"/>
        <v>100</v>
      </c>
      <c r="AN173" s="79">
        <v>8</v>
      </c>
      <c r="AO173" s="79">
        <f t="shared" ref="AO173:AR173" si="1679">SUM(AO174:AO177)</f>
        <v>4800</v>
      </c>
      <c r="AP173" s="79">
        <f t="shared" si="1679"/>
        <v>85740.076808786194</v>
      </c>
      <c r="AQ173" s="79">
        <f t="shared" si="1679"/>
        <v>310.94999999999999</v>
      </c>
      <c r="AR173" s="79">
        <f t="shared" si="1679"/>
        <v>0</v>
      </c>
      <c r="AS173" s="79">
        <v>600</v>
      </c>
      <c r="AT173" s="79"/>
      <c r="AU173" s="79">
        <v>3200</v>
      </c>
      <c r="AV173" s="81">
        <f t="shared" ref="AV173:BC173" si="1680">SUM(AV174:AV177)</f>
        <v>66.774403328060799</v>
      </c>
      <c r="AW173" s="81">
        <v>1705.9614522796101</v>
      </c>
      <c r="AX173" s="79">
        <f t="shared" si="1680"/>
        <v>4981.7931456637698</v>
      </c>
      <c r="AY173" s="81">
        <f t="shared" si="1680"/>
        <v>0</v>
      </c>
      <c r="AZ173" s="81">
        <f t="shared" si="1680"/>
        <v>138355.388696237</v>
      </c>
      <c r="BA173" s="81">
        <f t="shared" si="1680"/>
        <v>151031</v>
      </c>
      <c r="BB173" s="79">
        <f t="shared" si="1680"/>
        <v>137145.44367971999</v>
      </c>
      <c r="BC173" s="79">
        <f t="shared" si="1680"/>
        <v>1209.9450165174301</v>
      </c>
      <c r="BD173" s="337">
        <f t="shared" si="1658"/>
        <v>8.8223493544784502e-003</v>
      </c>
      <c r="BG173" s="340"/>
    </row>
    <row r="174" ht="17" customHeight="1">
      <c r="A174" s="46">
        <v>115</v>
      </c>
      <c r="B174" s="82" t="s">
        <v>216</v>
      </c>
      <c r="C174" s="46" t="s">
        <v>93</v>
      </c>
      <c r="D174" s="46">
        <v>2020</v>
      </c>
      <c r="E174" s="46" t="s">
        <v>94</v>
      </c>
      <c r="F174" s="46"/>
      <c r="G174" s="73">
        <f>88228-1522</f>
        <v>86706</v>
      </c>
      <c r="H174" s="59">
        <f t="shared" si="1665"/>
        <v>86706</v>
      </c>
      <c r="I174" s="59">
        <f t="shared" si="1666"/>
        <v>0</v>
      </c>
      <c r="J174" s="59">
        <f t="shared" si="1667"/>
        <v>0</v>
      </c>
      <c r="K174" s="59">
        <f t="shared" si="1668"/>
        <v>0</v>
      </c>
      <c r="L174" s="59">
        <f t="shared" si="1669"/>
        <v>0</v>
      </c>
      <c r="M174" s="59">
        <f t="shared" si="1670"/>
        <v>86706</v>
      </c>
      <c r="N174" s="59">
        <v>17288</v>
      </c>
      <c r="O174" s="59">
        <v>39927</v>
      </c>
      <c r="P174" s="59">
        <f t="shared" ref="P174:P177" si="1681">Q174*0.6+R174*0.8+S174*1+T174*1.25</f>
        <v>33823</v>
      </c>
      <c r="Q174" s="59">
        <v>1458</v>
      </c>
      <c r="R174" s="59">
        <v>5324</v>
      </c>
      <c r="S174" s="59">
        <v>28689</v>
      </c>
      <c r="T174" s="59"/>
      <c r="U174" s="59">
        <v>1120</v>
      </c>
      <c r="V174" s="59">
        <f t="shared" ref="V174:V177" si="1682">H174/$H$9*(134866+26973)+N174/$N$9*202299+P174/$P$9*100000+U174/$U$9*34867</f>
        <v>14075.1159245319</v>
      </c>
      <c r="W174" s="59">
        <v>11496.65</v>
      </c>
      <c r="X174" s="62">
        <f t="shared" ref="X174:X177" si="1683">($W$64-W174)/($W$64-$W$44)</f>
        <v>0.67159537971476602</v>
      </c>
      <c r="Y174" s="62">
        <f t="shared" ref="Y174:Y177" si="1684">(G174+N174)*X174/10000</f>
        <v>6.9841889918057403</v>
      </c>
      <c r="Z174" s="62">
        <f t="shared" ref="Z174:Z177" si="1685">Y174*1</f>
        <v>6.9841889918057403</v>
      </c>
      <c r="AA174" s="59">
        <f t="shared" ref="AA174:AA177" si="1686">Z174/$Z$9*(1348663*0.1+30000)</f>
        <v>2544.91263545731</v>
      </c>
      <c r="AB174" s="59">
        <v>4460.1999999999998</v>
      </c>
      <c r="AC174" s="59">
        <f t="shared" ref="AC174:AC177" si="1687">(AB174/$AB$9*1348663*0.037)</f>
        <v>313.35534125350301</v>
      </c>
      <c r="AD174" s="59"/>
      <c r="AE174" s="59"/>
      <c r="AF174" s="59">
        <v>12</v>
      </c>
      <c r="AG174" s="59">
        <f t="shared" si="1671"/>
        <v>12</v>
      </c>
      <c r="AH174" s="59">
        <f t="shared" si="1672"/>
        <v>137.01670100183401</v>
      </c>
      <c r="AI174" s="59">
        <v>0.37787297141444898</v>
      </c>
      <c r="AJ174" s="59">
        <f t="shared" si="1673"/>
        <v>0.37787297141444898</v>
      </c>
      <c r="AK174" s="59">
        <f t="shared" si="1674"/>
        <v>174.63290125599499</v>
      </c>
      <c r="AL174" s="338"/>
      <c r="AM174" s="59"/>
      <c r="AN174" s="59"/>
      <c r="AO174" s="59"/>
      <c r="AP174" s="59">
        <f t="shared" ref="AP174:AP177" si="1688">5000+BF174+N174/470414*13615</f>
        <v>23065.128625890298</v>
      </c>
      <c r="AQ174" s="62">
        <v>80.799999999999997</v>
      </c>
      <c r="AR174" s="62" t="s">
        <v>442</v>
      </c>
      <c r="AS174" s="59">
        <v>600</v>
      </c>
      <c r="AT174" s="59" t="s">
        <v>441</v>
      </c>
      <c r="AU174" s="59">
        <v>800</v>
      </c>
      <c r="AV174" s="62">
        <v>16.628195025885599</v>
      </c>
      <c r="AW174" s="59">
        <f t="shared" si="1659"/>
        <v>424.81936672323201</v>
      </c>
      <c r="AX174" s="59">
        <v>1542.35591082474</v>
      </c>
      <c r="AY174" s="59"/>
      <c r="AZ174" s="59">
        <f t="shared" si="1675"/>
        <v>42134.981496114102</v>
      </c>
      <c r="BA174" s="59">
        <v>45850</v>
      </c>
      <c r="BB174" s="59">
        <f t="shared" ref="BB174:BB177" si="1689">BA174/$BA$9*1348663</f>
        <v>41634.621983004399</v>
      </c>
      <c r="BC174" s="59">
        <f t="shared" ref="BC174:BC177" si="1690">AZ174-BB174</f>
        <v>500.35951310971001</v>
      </c>
      <c r="BD174" s="43">
        <f t="shared" si="1658"/>
        <v>1.2017870927565099e-002</v>
      </c>
      <c r="BF174" s="341">
        <v>17564.769112780599</v>
      </c>
      <c r="BG174" s="339"/>
    </row>
    <row r="175" ht="17" customHeight="1">
      <c r="A175" s="46">
        <v>116</v>
      </c>
      <c r="B175" s="82" t="s">
        <v>214</v>
      </c>
      <c r="C175" s="46" t="s">
        <v>93</v>
      </c>
      <c r="D175" s="46">
        <v>2020</v>
      </c>
      <c r="E175" s="46" t="s">
        <v>94</v>
      </c>
      <c r="F175" s="46" t="s">
        <v>146</v>
      </c>
      <c r="G175" s="73">
        <f>61052-1097</f>
        <v>59955</v>
      </c>
      <c r="H175" s="59">
        <f t="shared" si="1665"/>
        <v>59955</v>
      </c>
      <c r="I175" s="59">
        <f t="shared" si="1666"/>
        <v>0</v>
      </c>
      <c r="J175" s="59">
        <f t="shared" si="1667"/>
        <v>0</v>
      </c>
      <c r="K175" s="59">
        <f t="shared" si="1668"/>
        <v>0</v>
      </c>
      <c r="L175" s="59">
        <f t="shared" si="1669"/>
        <v>0</v>
      </c>
      <c r="M175" s="59">
        <f t="shared" si="1670"/>
        <v>59955</v>
      </c>
      <c r="N175" s="59">
        <v>10721</v>
      </c>
      <c r="O175" s="59">
        <v>22500</v>
      </c>
      <c r="P175" s="59">
        <f t="shared" si="1681"/>
        <v>16040</v>
      </c>
      <c r="Q175" s="59">
        <v>4510</v>
      </c>
      <c r="R175" s="59"/>
      <c r="S175" s="59">
        <v>13334</v>
      </c>
      <c r="T175" s="59"/>
      <c r="U175" s="59">
        <v>49</v>
      </c>
      <c r="V175" s="59">
        <f t="shared" si="1682"/>
        <v>7663.16080101446</v>
      </c>
      <c r="W175" s="59">
        <v>11559.58</v>
      </c>
      <c r="X175" s="62">
        <f t="shared" si="1683"/>
        <v>0.66144049882040101</v>
      </c>
      <c r="Y175" s="62">
        <f t="shared" si="1684"/>
        <v>4.6747968694630702</v>
      </c>
      <c r="Z175" s="62">
        <f t="shared" si="1685"/>
        <v>4.6747968694630702</v>
      </c>
      <c r="AA175" s="59">
        <f t="shared" si="1686"/>
        <v>1703.41175407066</v>
      </c>
      <c r="AB175" s="59">
        <v>2248.6300000000001</v>
      </c>
      <c r="AC175" s="59">
        <f t="shared" si="1687"/>
        <v>157.979512354348</v>
      </c>
      <c r="AD175" s="59"/>
      <c r="AE175" s="59"/>
      <c r="AF175" s="59">
        <v>10</v>
      </c>
      <c r="AG175" s="59">
        <f t="shared" si="1671"/>
        <v>10</v>
      </c>
      <c r="AH175" s="59">
        <f t="shared" si="1672"/>
        <v>114.180584168195</v>
      </c>
      <c r="AI175" s="59">
        <v>0.91904527559055105</v>
      </c>
      <c r="AJ175" s="59">
        <f t="shared" si="1673"/>
        <v>0.91904527559055105</v>
      </c>
      <c r="AK175" s="59">
        <f t="shared" si="1674"/>
        <v>424.73411702675702</v>
      </c>
      <c r="AL175" s="338"/>
      <c r="AM175" s="59"/>
      <c r="AN175" s="59">
        <v>2</v>
      </c>
      <c r="AO175" s="59">
        <f t="shared" ref="AO175:AO177" si="1691">AN175*600</f>
        <v>1200</v>
      </c>
      <c r="AP175" s="59">
        <f t="shared" si="1688"/>
        <v>25314.0803509283</v>
      </c>
      <c r="AQ175" s="62">
        <v>77.469999999999999</v>
      </c>
      <c r="AR175" s="62" t="s">
        <v>440</v>
      </c>
      <c r="AS175" s="59"/>
      <c r="AT175" s="59" t="s">
        <v>441</v>
      </c>
      <c r="AU175" s="59">
        <v>800</v>
      </c>
      <c r="AV175" s="62">
        <v>16.449392318192601</v>
      </c>
      <c r="AW175" s="59">
        <f t="shared" si="1659"/>
        <v>420.25129105823697</v>
      </c>
      <c r="AX175" s="59">
        <v>1518.13701023209</v>
      </c>
      <c r="AY175" s="59"/>
      <c r="AZ175" s="59">
        <f t="shared" si="1675"/>
        <v>37797.798410620897</v>
      </c>
      <c r="BA175" s="59">
        <v>41283</v>
      </c>
      <c r="BB175" s="59">
        <f t="shared" si="1689"/>
        <v>37487.504892570803</v>
      </c>
      <c r="BC175" s="59">
        <f t="shared" si="1690"/>
        <v>310.29351805009401</v>
      </c>
      <c r="BD175" s="43">
        <f t="shared" si="1658"/>
        <v>8.2772518186876396e-003</v>
      </c>
      <c r="BF175" s="341">
        <v>20003.786832878199</v>
      </c>
      <c r="BG175" s="339"/>
    </row>
    <row r="176" ht="17" customHeight="1">
      <c r="A176" s="46">
        <v>117</v>
      </c>
      <c r="B176" s="82" t="s">
        <v>215</v>
      </c>
      <c r="C176" s="46" t="s">
        <v>93</v>
      </c>
      <c r="D176" s="46">
        <v>2019</v>
      </c>
      <c r="E176" s="46" t="s">
        <v>94</v>
      </c>
      <c r="F176" s="46" t="s">
        <v>146</v>
      </c>
      <c r="G176" s="73">
        <f>17329-5</f>
        <v>17324</v>
      </c>
      <c r="H176" s="59">
        <f t="shared" si="1665"/>
        <v>15591.6</v>
      </c>
      <c r="I176" s="59">
        <f t="shared" si="1666"/>
        <v>0</v>
      </c>
      <c r="J176" s="59">
        <f t="shared" si="1667"/>
        <v>0</v>
      </c>
      <c r="K176" s="59">
        <f t="shared" si="1668"/>
        <v>0</v>
      </c>
      <c r="L176" s="59">
        <f t="shared" si="1669"/>
        <v>15591.6</v>
      </c>
      <c r="M176" s="59">
        <f t="shared" si="1670"/>
        <v>0</v>
      </c>
      <c r="N176" s="59">
        <v>2630</v>
      </c>
      <c r="O176" s="59">
        <v>4119</v>
      </c>
      <c r="P176" s="59">
        <f t="shared" si="1681"/>
        <v>1350.5999999999999</v>
      </c>
      <c r="Q176" s="59">
        <v>2251</v>
      </c>
      <c r="R176" s="59"/>
      <c r="S176" s="59"/>
      <c r="T176" s="59"/>
      <c r="U176" s="59">
        <v>208</v>
      </c>
      <c r="V176" s="59">
        <f t="shared" si="1682"/>
        <v>1381.5645765858101</v>
      </c>
      <c r="W176" s="59">
        <v>12330.629999999999</v>
      </c>
      <c r="X176" s="62">
        <f t="shared" si="1683"/>
        <v>0.53701779242281</v>
      </c>
      <c r="Y176" s="62">
        <f t="shared" si="1684"/>
        <v>1.0715653030004699</v>
      </c>
      <c r="Z176" s="62">
        <f t="shared" si="1685"/>
        <v>1.0715653030004699</v>
      </c>
      <c r="AA176" s="59">
        <f t="shared" si="1686"/>
        <v>390.45909017111001</v>
      </c>
      <c r="AB176" s="59">
        <v>1510.4000000000001</v>
      </c>
      <c r="AC176" s="59">
        <f t="shared" si="1687"/>
        <v>106.114503257542</v>
      </c>
      <c r="AD176" s="59"/>
      <c r="AE176" s="59"/>
      <c r="AF176" s="59">
        <v>4</v>
      </c>
      <c r="AG176" s="59">
        <f t="shared" si="1671"/>
        <v>4</v>
      </c>
      <c r="AH176" s="59">
        <f t="shared" si="1672"/>
        <v>45.6722336672781</v>
      </c>
      <c r="AI176" s="59">
        <v>0.13165942378883</v>
      </c>
      <c r="AJ176" s="59">
        <f t="shared" si="1673"/>
        <v>0.13165942378883</v>
      </c>
      <c r="AK176" s="59">
        <f t="shared" si="1674"/>
        <v>60.8460220583449</v>
      </c>
      <c r="AL176" s="338"/>
      <c r="AM176" s="59"/>
      <c r="AN176" s="59">
        <v>2</v>
      </c>
      <c r="AO176" s="59">
        <f t="shared" si="1691"/>
        <v>1200</v>
      </c>
      <c r="AP176" s="59">
        <f t="shared" si="1688"/>
        <v>17598.570446625999</v>
      </c>
      <c r="AQ176" s="62">
        <v>76.709999999999994</v>
      </c>
      <c r="AR176" s="62" t="s">
        <v>440</v>
      </c>
      <c r="AS176" s="59"/>
      <c r="AT176" s="59" t="s">
        <v>441</v>
      </c>
      <c r="AU176" s="59">
        <v>800</v>
      </c>
      <c r="AV176" s="62">
        <v>17.286891087814301</v>
      </c>
      <c r="AW176" s="59">
        <f t="shared" si="1659"/>
        <v>441.647822454959</v>
      </c>
      <c r="AX176" s="59">
        <v>1921.30022460694</v>
      </c>
      <c r="AY176" s="59"/>
      <c r="AZ176" s="59">
        <f t="shared" si="1675"/>
        <v>22024.874694821101</v>
      </c>
      <c r="BA176" s="59">
        <v>24171</v>
      </c>
      <c r="BB176" s="59">
        <f t="shared" si="1689"/>
        <v>21948.755680506001</v>
      </c>
      <c r="BC176" s="59">
        <f t="shared" si="1690"/>
        <v>76.119014315088904</v>
      </c>
      <c r="BD176" s="43">
        <f t="shared" si="1658"/>
        <v>3.4680332417520499e-003</v>
      </c>
      <c r="BF176" s="341">
        <v>12522.451432311</v>
      </c>
      <c r="BG176" s="339"/>
    </row>
    <row r="177" ht="17" customHeight="1">
      <c r="A177" s="46">
        <v>118</v>
      </c>
      <c r="B177" s="82" t="s">
        <v>213</v>
      </c>
      <c r="C177" s="46" t="s">
        <v>93</v>
      </c>
      <c r="D177" s="46">
        <v>2020</v>
      </c>
      <c r="E177" s="46" t="s">
        <v>94</v>
      </c>
      <c r="F177" s="46" t="s">
        <v>146</v>
      </c>
      <c r="G177" s="73">
        <f>63159+1097+1522+5</f>
        <v>65783</v>
      </c>
      <c r="H177" s="59">
        <f t="shared" si="1665"/>
        <v>65783</v>
      </c>
      <c r="I177" s="59">
        <f t="shared" si="1666"/>
        <v>0</v>
      </c>
      <c r="J177" s="59">
        <f t="shared" si="1667"/>
        <v>0</v>
      </c>
      <c r="K177" s="59">
        <f t="shared" si="1668"/>
        <v>0</v>
      </c>
      <c r="L177" s="59">
        <f t="shared" si="1669"/>
        <v>0</v>
      </c>
      <c r="M177" s="59">
        <f t="shared" si="1670"/>
        <v>65783</v>
      </c>
      <c r="N177" s="59">
        <v>11166</v>
      </c>
      <c r="O177" s="59">
        <v>29313</v>
      </c>
      <c r="P177" s="59">
        <f t="shared" si="1681"/>
        <v>24667.75</v>
      </c>
      <c r="Q177" s="59">
        <v>8008</v>
      </c>
      <c r="R177" s="59">
        <v>11254</v>
      </c>
      <c r="S177" s="59">
        <f>10012-T177</f>
        <v>6621</v>
      </c>
      <c r="T177" s="59">
        <v>3391</v>
      </c>
      <c r="U177" s="59">
        <v>723</v>
      </c>
      <c r="V177" s="59">
        <f t="shared" si="1682"/>
        <v>9989.7954436466607</v>
      </c>
      <c r="W177" s="59">
        <v>12441.940000000001</v>
      </c>
      <c r="X177" s="62">
        <f t="shared" si="1683"/>
        <v>0.51905593333569999</v>
      </c>
      <c r="Y177" s="62">
        <f t="shared" si="1684"/>
        <v>3.9940835014248801</v>
      </c>
      <c r="Z177" s="62">
        <f t="shared" si="1685"/>
        <v>3.9940835014248801</v>
      </c>
      <c r="AA177" s="59">
        <f t="shared" si="1686"/>
        <v>1455.37206707514</v>
      </c>
      <c r="AB177" s="59">
        <v>7953.4499999999998</v>
      </c>
      <c r="AC177" s="59">
        <f t="shared" si="1687"/>
        <v>558.77674518915501</v>
      </c>
      <c r="AD177" s="59"/>
      <c r="AE177" s="59"/>
      <c r="AF177" s="59">
        <v>42</v>
      </c>
      <c r="AG177" s="59">
        <f t="shared" si="1671"/>
        <v>42</v>
      </c>
      <c r="AH177" s="59">
        <f t="shared" si="1672"/>
        <v>479.55845350641999</v>
      </c>
      <c r="AI177" s="59">
        <v>0.93626254407377296</v>
      </c>
      <c r="AJ177" s="59">
        <f t="shared" si="1673"/>
        <v>0.93626254407377296</v>
      </c>
      <c r="AK177" s="59">
        <f t="shared" si="1674"/>
        <v>432.69102787876602</v>
      </c>
      <c r="AL177" s="338" t="s">
        <v>1544</v>
      </c>
      <c r="AM177" s="59">
        <v>100</v>
      </c>
      <c r="AN177" s="59">
        <v>4</v>
      </c>
      <c r="AO177" s="59">
        <f t="shared" si="1691"/>
        <v>2400</v>
      </c>
      <c r="AP177" s="59">
        <f t="shared" si="1688"/>
        <v>19762.297385341499</v>
      </c>
      <c r="AQ177" s="62">
        <v>75.969999999999999</v>
      </c>
      <c r="AR177" s="62" t="s">
        <v>440</v>
      </c>
      <c r="AS177" s="59"/>
      <c r="AT177" s="59" t="s">
        <v>441</v>
      </c>
      <c r="AU177" s="59">
        <v>800</v>
      </c>
      <c r="AV177" s="62">
        <v>16.409924896168299</v>
      </c>
      <c r="AW177" s="59">
        <f t="shared" si="1659"/>
        <v>419.24297204318702</v>
      </c>
      <c r="AX177" s="59">
        <v>0</v>
      </c>
      <c r="AY177" s="59"/>
      <c r="AZ177" s="59">
        <f t="shared" si="1675"/>
        <v>36397.734094680898</v>
      </c>
      <c r="BA177" s="59">
        <v>39727</v>
      </c>
      <c r="BB177" s="59">
        <f t="shared" si="1689"/>
        <v>36074.561123638297</v>
      </c>
      <c r="BC177" s="59">
        <f t="shared" si="1690"/>
        <v>323.17297104254197</v>
      </c>
      <c r="BD177" s="43">
        <f t="shared" si="1658"/>
        <v>8.9584727014400001e-003</v>
      </c>
      <c r="BF177" s="341">
        <v>14439.124414299</v>
      </c>
      <c r="BG177" s="339"/>
    </row>
    <row r="178" s="5" customFormat="1" ht="17" customHeight="1">
      <c r="A178" s="65"/>
      <c r="B178" s="66" t="s">
        <v>217</v>
      </c>
      <c r="C178" s="67">
        <v>1</v>
      </c>
      <c r="D178" s="67"/>
      <c r="E178" s="67"/>
      <c r="F178" s="68"/>
      <c r="G178" s="69">
        <f t="shared" ref="G178:P178" si="1692">G179+G180</f>
        <v>68762</v>
      </c>
      <c r="H178" s="69">
        <f t="shared" si="1692"/>
        <v>59039.800000000003</v>
      </c>
      <c r="I178" s="69">
        <f t="shared" si="1692"/>
        <v>0</v>
      </c>
      <c r="J178" s="69">
        <f t="shared" si="1692"/>
        <v>0</v>
      </c>
      <c r="K178" s="69">
        <f t="shared" si="1692"/>
        <v>22768</v>
      </c>
      <c r="L178" s="69">
        <f t="shared" si="1692"/>
        <v>36271.800000000003</v>
      </c>
      <c r="M178" s="69">
        <f t="shared" si="1692"/>
        <v>0</v>
      </c>
      <c r="N178" s="69">
        <f t="shared" si="1692"/>
        <v>7219</v>
      </c>
      <c r="O178" s="69">
        <f t="shared" si="1692"/>
        <v>10729</v>
      </c>
      <c r="P178" s="69">
        <f t="shared" si="1692"/>
        <v>1367.4000000000001</v>
      </c>
      <c r="Q178" s="59">
        <v>2279</v>
      </c>
      <c r="R178" s="69">
        <f t="shared" ref="R178:V178" si="1693">R179+R180</f>
        <v>0</v>
      </c>
      <c r="S178" s="69">
        <f t="shared" si="1693"/>
        <v>0</v>
      </c>
      <c r="T178" s="69">
        <f t="shared" si="1693"/>
        <v>0</v>
      </c>
      <c r="U178" s="69">
        <f t="shared" si="1693"/>
        <v>928</v>
      </c>
      <c r="V178" s="69">
        <f t="shared" si="1693"/>
        <v>3820.7098475420798</v>
      </c>
      <c r="W178" s="69"/>
      <c r="X178" s="69">
        <f t="shared" ref="X178:AM178" si="1694">X179+X180</f>
        <v>0.71935059109055699</v>
      </c>
      <c r="Y178" s="69">
        <f t="shared" si="1694"/>
        <v>2.8112969264259302</v>
      </c>
      <c r="Z178" s="69">
        <f t="shared" si="1694"/>
        <v>2.8112969264259302</v>
      </c>
      <c r="AA178" s="69">
        <f t="shared" si="1694"/>
        <v>1024.3859492458901</v>
      </c>
      <c r="AB178" s="69">
        <f t="shared" si="1694"/>
        <v>3291.7006999999999</v>
      </c>
      <c r="AC178" s="69">
        <f t="shared" si="1694"/>
        <v>231.26137755098301</v>
      </c>
      <c r="AD178" s="69">
        <f t="shared" si="1694"/>
        <v>1</v>
      </c>
      <c r="AE178" s="69">
        <f t="shared" si="1694"/>
        <v>0</v>
      </c>
      <c r="AF178" s="69">
        <f t="shared" si="1694"/>
        <v>88</v>
      </c>
      <c r="AG178" s="59">
        <f t="shared" si="1694"/>
        <v>88</v>
      </c>
      <c r="AH178" s="59">
        <f t="shared" si="1694"/>
        <v>1004.78914068012</v>
      </c>
      <c r="AI178" s="69">
        <f t="shared" si="1694"/>
        <v>2.5154756971131902</v>
      </c>
      <c r="AJ178" s="59">
        <f t="shared" si="1694"/>
        <v>2.5154756971131902</v>
      </c>
      <c r="AK178" s="59">
        <f t="shared" si="1694"/>
        <v>1162.5198208315801</v>
      </c>
      <c r="AL178" s="69">
        <f t="shared" si="1694"/>
        <v>0</v>
      </c>
      <c r="AM178" s="69">
        <f t="shared" si="1694"/>
        <v>100</v>
      </c>
      <c r="AN178" s="69">
        <v>7</v>
      </c>
      <c r="AO178" s="69">
        <f t="shared" ref="AO178:AR178" si="1695">AO179+AO180</f>
        <v>4200</v>
      </c>
      <c r="AP178" s="69">
        <f t="shared" si="1695"/>
        <v>67609.050844286103</v>
      </c>
      <c r="AQ178" s="69">
        <f t="shared" si="1695"/>
        <v>244.99000000000001</v>
      </c>
      <c r="AR178" s="69">
        <f t="shared" si="1695"/>
        <v>0</v>
      </c>
      <c r="AS178" s="69">
        <v>1200</v>
      </c>
      <c r="AT178" s="69"/>
      <c r="AU178" s="69">
        <v>0</v>
      </c>
      <c r="AV178" s="71">
        <f t="shared" ref="AV178:BC178" si="1696">AV179+AV180</f>
        <v>36.854961708451903</v>
      </c>
      <c r="AW178" s="71">
        <v>941.57552694205503</v>
      </c>
      <c r="AX178" s="69">
        <f t="shared" si="1696"/>
        <v>3770.39446169345</v>
      </c>
      <c r="AY178" s="71">
        <f t="shared" si="1696"/>
        <v>0</v>
      </c>
      <c r="AZ178" s="71">
        <f t="shared" si="1696"/>
        <v>81294.292507078804</v>
      </c>
      <c r="BA178" s="71">
        <f t="shared" si="1696"/>
        <v>89295</v>
      </c>
      <c r="BB178" s="69">
        <f t="shared" si="1696"/>
        <v>81085.355942691007</v>
      </c>
      <c r="BC178" s="69">
        <f t="shared" si="1696"/>
        <v>208.936564387874</v>
      </c>
      <c r="BD178" s="336">
        <f t="shared" si="1658"/>
        <v>2.5767484394536599e-003</v>
      </c>
      <c r="BG178" s="340"/>
    </row>
    <row r="179" s="5" customFormat="1" ht="17" customHeight="1">
      <c r="A179" s="44"/>
      <c r="B179" s="72" t="s">
        <v>218</v>
      </c>
      <c r="C179" s="46">
        <v>2</v>
      </c>
      <c r="D179" s="46"/>
      <c r="E179" s="46"/>
      <c r="F179" s="46"/>
      <c r="G179" s="73"/>
      <c r="H179" s="59">
        <f t="shared" ref="H179:H183" si="1697">SUM(I179:M179)</f>
        <v>0</v>
      </c>
      <c r="I179" s="59">
        <f t="shared" ref="I179:I183" si="1698">IF(D179="",G179*0.6,0)</f>
        <v>0</v>
      </c>
      <c r="J179" s="59">
        <f t="shared" ref="J179:J183" si="1699">IF(D179=2017,G179*0.7,0)</f>
        <v>0</v>
      </c>
      <c r="K179" s="59">
        <f t="shared" ref="K179:K183" si="1700">IF(D179=2018,G179*0.8,0)</f>
        <v>0</v>
      </c>
      <c r="L179" s="59">
        <f t="shared" ref="L179:L183" si="1701">IF(D179=2019,G179*0.9,0)</f>
        <v>0</v>
      </c>
      <c r="M179" s="59">
        <f t="shared" ref="M179:M183" si="1702">IF(D179=2020,G179*1,0)</f>
        <v>0</v>
      </c>
      <c r="N179" s="59"/>
      <c r="O179" s="59"/>
      <c r="P179" s="59">
        <f>L179*0.4+M179*0.6+N179*0.8+O179*1</f>
        <v>0</v>
      </c>
      <c r="Q179" s="59"/>
      <c r="R179" s="59"/>
      <c r="S179" s="59"/>
      <c r="T179" s="59"/>
      <c r="U179" s="59"/>
      <c r="V179" s="59">
        <f>H179/$H$9*134866+N179/$N$9*202299+P179/$P$9*100000+U179/$U$9*34867</f>
        <v>0</v>
      </c>
      <c r="W179" s="59"/>
      <c r="X179" s="62"/>
      <c r="Y179" s="62"/>
      <c r="Z179" s="62"/>
      <c r="AA179" s="59"/>
      <c r="AB179" s="59"/>
      <c r="AC179" s="59"/>
      <c r="AD179" s="59"/>
      <c r="AE179" s="59"/>
      <c r="AF179" s="59"/>
      <c r="AG179" s="59">
        <f t="shared" ref="AG179:AG183" si="1703">AF179</f>
        <v>0</v>
      </c>
      <c r="AH179" s="59">
        <f t="shared" ref="AH179:AH183" si="1704">AG179/$AG$9*40459.89</f>
        <v>0</v>
      </c>
      <c r="AI179" s="59"/>
      <c r="AJ179" s="59">
        <f t="shared" ref="AJ179:AJ183" si="1705">AI179</f>
        <v>0</v>
      </c>
      <c r="AK179" s="59">
        <f t="shared" ref="AK179:AK183" si="1706">AJ179/$AJ$9*40459.89</f>
        <v>0</v>
      </c>
      <c r="AL179" s="59"/>
      <c r="AM179" s="59"/>
      <c r="AN179" s="59"/>
      <c r="AO179" s="59"/>
      <c r="AP179" s="59"/>
      <c r="AQ179" s="62"/>
      <c r="AR179" s="62"/>
      <c r="AS179" s="59"/>
      <c r="AT179" s="59"/>
      <c r="AU179" s="59"/>
      <c r="AV179" s="62"/>
      <c r="AW179" s="59">
        <v>0</v>
      </c>
      <c r="AX179" s="59"/>
      <c r="AY179" s="59"/>
      <c r="AZ179" s="59">
        <f t="shared" ref="AZ179:AZ183" si="1707">V179+AA179+AC179+AE179+AH179+AK179+AM179+AO179+AP179+AS179+AU179+AW179+AY179</f>
        <v>0</v>
      </c>
      <c r="BA179" s="73"/>
      <c r="BB179" s="170"/>
      <c r="BC179" s="50"/>
      <c r="BD179" s="43"/>
      <c r="BG179" s="340"/>
    </row>
    <row r="180" s="5" customFormat="1" ht="17" customHeight="1">
      <c r="A180" s="75"/>
      <c r="B180" s="76" t="s">
        <v>76</v>
      </c>
      <c r="C180" s="77">
        <v>3</v>
      </c>
      <c r="D180" s="77"/>
      <c r="E180" s="77"/>
      <c r="F180" s="78"/>
      <c r="G180" s="79">
        <f t="shared" ref="G180:P180" si="1708">SUM(G181:G183)</f>
        <v>68762</v>
      </c>
      <c r="H180" s="79">
        <f t="shared" si="1708"/>
        <v>59039.800000000003</v>
      </c>
      <c r="I180" s="79">
        <f t="shared" si="1708"/>
        <v>0</v>
      </c>
      <c r="J180" s="79">
        <f t="shared" si="1708"/>
        <v>0</v>
      </c>
      <c r="K180" s="79">
        <f t="shared" si="1708"/>
        <v>22768</v>
      </c>
      <c r="L180" s="79">
        <f t="shared" si="1708"/>
        <v>36271.800000000003</v>
      </c>
      <c r="M180" s="79">
        <f t="shared" si="1708"/>
        <v>0</v>
      </c>
      <c r="N180" s="79">
        <f t="shared" si="1708"/>
        <v>7219</v>
      </c>
      <c r="O180" s="79">
        <f t="shared" si="1708"/>
        <v>10729</v>
      </c>
      <c r="P180" s="79">
        <f t="shared" si="1708"/>
        <v>1367.4000000000001</v>
      </c>
      <c r="Q180" s="59">
        <v>2279</v>
      </c>
      <c r="R180" s="79">
        <f t="shared" ref="R180:V180" si="1709">SUM(R181:R183)</f>
        <v>0</v>
      </c>
      <c r="S180" s="79">
        <f t="shared" si="1709"/>
        <v>0</v>
      </c>
      <c r="T180" s="79">
        <f t="shared" si="1709"/>
        <v>0</v>
      </c>
      <c r="U180" s="79">
        <f t="shared" si="1709"/>
        <v>928</v>
      </c>
      <c r="V180" s="79">
        <f t="shared" si="1709"/>
        <v>3820.7098475420798</v>
      </c>
      <c r="W180" s="79"/>
      <c r="X180" s="79">
        <f t="shared" ref="X180:AM180" si="1710">SUM(X181:X183)</f>
        <v>0.71935059109055699</v>
      </c>
      <c r="Y180" s="79">
        <f t="shared" si="1710"/>
        <v>2.8112969264259302</v>
      </c>
      <c r="Z180" s="79">
        <f t="shared" si="1710"/>
        <v>2.8112969264259302</v>
      </c>
      <c r="AA180" s="79">
        <f t="shared" si="1710"/>
        <v>1024.3859492458901</v>
      </c>
      <c r="AB180" s="79">
        <f t="shared" si="1710"/>
        <v>3291.7006999999999</v>
      </c>
      <c r="AC180" s="79">
        <f t="shared" si="1710"/>
        <v>231.26137755098301</v>
      </c>
      <c r="AD180" s="79">
        <f t="shared" si="1710"/>
        <v>1</v>
      </c>
      <c r="AE180" s="79">
        <f t="shared" si="1710"/>
        <v>0</v>
      </c>
      <c r="AF180" s="79">
        <f t="shared" si="1710"/>
        <v>88</v>
      </c>
      <c r="AG180" s="59">
        <f t="shared" si="1710"/>
        <v>88</v>
      </c>
      <c r="AH180" s="59">
        <f t="shared" si="1710"/>
        <v>1004.78914068012</v>
      </c>
      <c r="AI180" s="79">
        <f t="shared" si="1710"/>
        <v>2.5154756971131902</v>
      </c>
      <c r="AJ180" s="59">
        <f t="shared" si="1710"/>
        <v>2.5154756971131902</v>
      </c>
      <c r="AK180" s="59">
        <f t="shared" si="1710"/>
        <v>1162.5198208315801</v>
      </c>
      <c r="AL180" s="79">
        <f t="shared" si="1710"/>
        <v>0</v>
      </c>
      <c r="AM180" s="79">
        <f t="shared" si="1710"/>
        <v>100</v>
      </c>
      <c r="AN180" s="79">
        <v>7</v>
      </c>
      <c r="AO180" s="79">
        <f t="shared" ref="AO180:AR180" si="1711">SUM(AO181:AO183)</f>
        <v>4200</v>
      </c>
      <c r="AP180" s="79">
        <f t="shared" si="1711"/>
        <v>67609.050844286103</v>
      </c>
      <c r="AQ180" s="79">
        <f t="shared" si="1711"/>
        <v>244.99000000000001</v>
      </c>
      <c r="AR180" s="79">
        <f t="shared" si="1711"/>
        <v>0</v>
      </c>
      <c r="AS180" s="79">
        <v>1200</v>
      </c>
      <c r="AT180" s="79"/>
      <c r="AU180" s="79">
        <v>0</v>
      </c>
      <c r="AV180" s="81">
        <f t="shared" ref="AV180:BC180" si="1712">SUM(AV181:AV183)</f>
        <v>36.854961708451903</v>
      </c>
      <c r="AW180" s="81">
        <v>941.57552694205503</v>
      </c>
      <c r="AX180" s="79">
        <f t="shared" si="1712"/>
        <v>3770.39446169345</v>
      </c>
      <c r="AY180" s="81">
        <f t="shared" si="1712"/>
        <v>0</v>
      </c>
      <c r="AZ180" s="81">
        <f t="shared" si="1712"/>
        <v>81294.292507078804</v>
      </c>
      <c r="BA180" s="81">
        <f t="shared" si="1712"/>
        <v>89295</v>
      </c>
      <c r="BB180" s="79">
        <f t="shared" si="1712"/>
        <v>81085.355942691007</v>
      </c>
      <c r="BC180" s="79">
        <f t="shared" si="1712"/>
        <v>208.936564387874</v>
      </c>
      <c r="BD180" s="337">
        <f t="shared" si="1658"/>
        <v>2.5767484394536599e-003</v>
      </c>
      <c r="BG180" s="340"/>
    </row>
    <row r="181" ht="17" customHeight="1">
      <c r="A181" s="46">
        <v>119</v>
      </c>
      <c r="B181" s="82" t="s">
        <v>219</v>
      </c>
      <c r="C181" s="46" t="s">
        <v>93</v>
      </c>
      <c r="D181" s="46">
        <v>2018</v>
      </c>
      <c r="E181" s="46" t="s">
        <v>94</v>
      </c>
      <c r="F181" s="46"/>
      <c r="G181" s="73">
        <v>16714</v>
      </c>
      <c r="H181" s="59">
        <f t="shared" si="1697"/>
        <v>13371.200000000001</v>
      </c>
      <c r="I181" s="59">
        <f t="shared" si="1698"/>
        <v>0</v>
      </c>
      <c r="J181" s="59">
        <f t="shared" si="1699"/>
        <v>0</v>
      </c>
      <c r="K181" s="59">
        <f t="shared" si="1700"/>
        <v>13371.200000000001</v>
      </c>
      <c r="L181" s="59">
        <f t="shared" si="1701"/>
        <v>0</v>
      </c>
      <c r="M181" s="59">
        <f t="shared" si="1702"/>
        <v>0</v>
      </c>
      <c r="N181" s="59">
        <v>1119</v>
      </c>
      <c r="O181" s="59">
        <v>2321</v>
      </c>
      <c r="P181" s="59">
        <f t="shared" ref="P181:P183" si="1713">Q181*0.6+R181*0.8+S181*1+T181*1.25</f>
        <v>0</v>
      </c>
      <c r="Q181" s="59"/>
      <c r="R181" s="59"/>
      <c r="S181" s="59"/>
      <c r="T181" s="59"/>
      <c r="U181" s="59">
        <v>493</v>
      </c>
      <c r="V181" s="59">
        <f t="shared" ref="V181:V183" si="1714">H181/$H$9*(134866+26973)+N181/$N$9*202299+P181/$P$9*100000+U181/$U$9*34867</f>
        <v>747.52872319659696</v>
      </c>
      <c r="W181" s="59">
        <v>15432.809999999999</v>
      </c>
      <c r="X181" s="62">
        <f t="shared" ref="X181:X183" si="1715">($W$64-W181)/($W$64-$W$44)</f>
        <v>3.6425572291198201e-002</v>
      </c>
      <c r="Y181" s="62">
        <f t="shared" ref="Y181:Y183" si="1716">(G181+N181)*X181/10000</f>
        <v>6.4957723066893805e-002</v>
      </c>
      <c r="Z181" s="62">
        <f t="shared" ref="Z181:Z183" si="1717">Y181*1</f>
        <v>6.4957723066893805e-002</v>
      </c>
      <c r="AA181" s="59">
        <f t="shared" ref="AA181:AA183" si="1718">Z181/$Z$9*(1348663*0.1+30000)</f>
        <v>23.6694239513605</v>
      </c>
      <c r="AB181" s="59">
        <v>684.5</v>
      </c>
      <c r="AC181" s="59">
        <f t="shared" ref="AC181:AC183" si="1719">(AB181/$AB$9*1348663*0.037)</f>
        <v>48.090159878037397</v>
      </c>
      <c r="AD181" s="59"/>
      <c r="AE181" s="59"/>
      <c r="AF181" s="59">
        <v>28</v>
      </c>
      <c r="AG181" s="59">
        <f t="shared" si="1703"/>
        <v>28</v>
      </c>
      <c r="AH181" s="59">
        <f t="shared" si="1704"/>
        <v>319.705635670947</v>
      </c>
      <c r="AI181" s="59">
        <v>1</v>
      </c>
      <c r="AJ181" s="59">
        <f t="shared" si="1705"/>
        <v>1</v>
      </c>
      <c r="AK181" s="59">
        <f t="shared" si="1706"/>
        <v>462.147108861243</v>
      </c>
      <c r="AL181" s="338"/>
      <c r="AM181" s="59"/>
      <c r="AN181" s="59">
        <v>2</v>
      </c>
      <c r="AO181" s="59">
        <f t="shared" ref="AO181:AO183" si="1720">AN181*600</f>
        <v>1200</v>
      </c>
      <c r="AP181" s="59">
        <f t="shared" ref="AP181:AP183" si="1721">5000+BF181+N181/470414*13615</f>
        <v>16584.540398666599</v>
      </c>
      <c r="AQ181" s="62">
        <v>82.079999999999998</v>
      </c>
      <c r="AR181" s="62" t="s">
        <v>442</v>
      </c>
      <c r="AS181" s="59">
        <v>600</v>
      </c>
      <c r="AT181" s="59" t="s">
        <v>443</v>
      </c>
      <c r="AU181" s="59"/>
      <c r="AV181" s="62">
        <v>6.2732016452584798</v>
      </c>
      <c r="AW181" s="59">
        <f t="shared" si="1659"/>
        <v>160.268600778208</v>
      </c>
      <c r="AX181" s="59">
        <v>2324.0239379650902</v>
      </c>
      <c r="AY181" s="59"/>
      <c r="AZ181" s="59">
        <f t="shared" si="1707"/>
        <v>20145.950051003001</v>
      </c>
      <c r="BA181" s="59">
        <v>22150</v>
      </c>
      <c r="BB181" s="59">
        <f t="shared" ref="BB181:BB183" si="1722">BA181/$BA$9*1348663</f>
        <v>20113.563291680399</v>
      </c>
      <c r="BC181" s="59">
        <f t="shared" ref="BC181:BC183" si="1723">AZ181-BB181</f>
        <v>32.386759322591402</v>
      </c>
      <c r="BD181" s="43">
        <f t="shared" si="1658"/>
        <v>1.61019501382868e-003</v>
      </c>
      <c r="BF181" s="341">
        <v>11552.153639344</v>
      </c>
      <c r="BG181" s="339"/>
    </row>
    <row r="182" ht="17" customHeight="1">
      <c r="A182" s="46">
        <v>120</v>
      </c>
      <c r="B182" s="82" t="s">
        <v>221</v>
      </c>
      <c r="C182" s="46" t="s">
        <v>93</v>
      </c>
      <c r="D182" s="46">
        <v>2019</v>
      </c>
      <c r="E182" s="46" t="s">
        <v>94</v>
      </c>
      <c r="F182" s="46"/>
      <c r="G182" s="73">
        <v>40302</v>
      </c>
      <c r="H182" s="59">
        <f t="shared" si="1697"/>
        <v>36271.800000000003</v>
      </c>
      <c r="I182" s="59">
        <f t="shared" si="1698"/>
        <v>0</v>
      </c>
      <c r="J182" s="59">
        <f t="shared" si="1699"/>
        <v>0</v>
      </c>
      <c r="K182" s="59">
        <f t="shared" si="1700"/>
        <v>0</v>
      </c>
      <c r="L182" s="59">
        <f t="shared" si="1701"/>
        <v>36271.800000000003</v>
      </c>
      <c r="M182" s="59">
        <f t="shared" si="1702"/>
        <v>0</v>
      </c>
      <c r="N182" s="59">
        <v>4931</v>
      </c>
      <c r="O182" s="59">
        <v>5324</v>
      </c>
      <c r="P182" s="59">
        <f t="shared" si="1713"/>
        <v>1367.4000000000001</v>
      </c>
      <c r="Q182" s="59">
        <v>2279</v>
      </c>
      <c r="R182" s="59"/>
      <c r="S182" s="59"/>
      <c r="T182" s="59"/>
      <c r="U182" s="59">
        <v>256</v>
      </c>
      <c r="V182" s="59">
        <f t="shared" si="1714"/>
        <v>2501.13515894275</v>
      </c>
      <c r="W182" s="59">
        <v>12083.639999999999</v>
      </c>
      <c r="X182" s="62">
        <f t="shared" si="1715"/>
        <v>0.57687404591239</v>
      </c>
      <c r="Y182" s="62">
        <f t="shared" si="1716"/>
        <v>2.6093743718755098</v>
      </c>
      <c r="Z182" s="62">
        <f t="shared" si="1717"/>
        <v>2.6093743718755098</v>
      </c>
      <c r="AA182" s="59">
        <f t="shared" si="1718"/>
        <v>950.80900837816</v>
      </c>
      <c r="AB182" s="59">
        <v>1210.5007000000001</v>
      </c>
      <c r="AC182" s="59">
        <f t="shared" si="1719"/>
        <v>85.044809635465697</v>
      </c>
      <c r="AD182" s="59">
        <v>1</v>
      </c>
      <c r="AE182" s="59"/>
      <c r="AF182" s="59">
        <v>39</v>
      </c>
      <c r="AG182" s="59">
        <f t="shared" si="1703"/>
        <v>39</v>
      </c>
      <c r="AH182" s="59">
        <f t="shared" si="1704"/>
        <v>445.304278255962</v>
      </c>
      <c r="AI182" s="59">
        <v>0.52120020516327603</v>
      </c>
      <c r="AJ182" s="59">
        <f t="shared" si="1705"/>
        <v>0.52120020516327603</v>
      </c>
      <c r="AK182" s="59">
        <f t="shared" si="1706"/>
        <v>240.87116795409401</v>
      </c>
      <c r="AL182" s="338" t="s">
        <v>1544</v>
      </c>
      <c r="AM182" s="59">
        <v>100</v>
      </c>
      <c r="AN182" s="59">
        <v>3</v>
      </c>
      <c r="AO182" s="59">
        <f t="shared" si="1720"/>
        <v>1800</v>
      </c>
      <c r="AP182" s="59">
        <f t="shared" si="1721"/>
        <v>36253.4463311242</v>
      </c>
      <c r="AQ182" s="62">
        <v>78.760000000000005</v>
      </c>
      <c r="AR182" s="62" t="s">
        <v>440</v>
      </c>
      <c r="AS182" s="59"/>
      <c r="AT182" s="59" t="s">
        <v>443</v>
      </c>
      <c r="AU182" s="59"/>
      <c r="AV182" s="62">
        <v>15.392059784584401</v>
      </c>
      <c r="AW182" s="59">
        <f t="shared" si="1659"/>
        <v>393.23841704250299</v>
      </c>
      <c r="AX182" s="59">
        <v>1424.7410213672299</v>
      </c>
      <c r="AY182" s="59"/>
      <c r="AZ182" s="59">
        <f t="shared" si="1707"/>
        <v>42769.849171333102</v>
      </c>
      <c r="BA182" s="59">
        <v>46943</v>
      </c>
      <c r="BB182" s="59">
        <f t="shared" si="1722"/>
        <v>42627.133255140201</v>
      </c>
      <c r="BC182" s="59">
        <f t="shared" si="1723"/>
        <v>142.715916192923</v>
      </c>
      <c r="BD182" s="43">
        <f t="shared" si="1658"/>
        <v>3.3480064291143401e-003</v>
      </c>
      <c r="BF182" s="341">
        <v>31110.7304149312</v>
      </c>
      <c r="BG182" s="339"/>
    </row>
    <row r="183" ht="17" customHeight="1">
      <c r="A183" s="46">
        <v>121</v>
      </c>
      <c r="B183" s="82" t="s">
        <v>220</v>
      </c>
      <c r="C183" s="46" t="s">
        <v>93</v>
      </c>
      <c r="D183" s="46">
        <v>2018</v>
      </c>
      <c r="E183" s="46" t="s">
        <v>94</v>
      </c>
      <c r="F183" s="46"/>
      <c r="G183" s="73">
        <v>11746</v>
      </c>
      <c r="H183" s="59">
        <f t="shared" si="1697"/>
        <v>9396.7999999999993</v>
      </c>
      <c r="I183" s="59">
        <f t="shared" si="1698"/>
        <v>0</v>
      </c>
      <c r="J183" s="59">
        <f t="shared" si="1699"/>
        <v>0</v>
      </c>
      <c r="K183" s="59">
        <f t="shared" si="1700"/>
        <v>9396.7999999999993</v>
      </c>
      <c r="L183" s="59">
        <f t="shared" si="1701"/>
        <v>0</v>
      </c>
      <c r="M183" s="59">
        <f t="shared" si="1702"/>
        <v>0</v>
      </c>
      <c r="N183" s="59">
        <v>1169</v>
      </c>
      <c r="O183" s="59">
        <v>3084</v>
      </c>
      <c r="P183" s="59">
        <f t="shared" si="1713"/>
        <v>0</v>
      </c>
      <c r="Q183" s="59"/>
      <c r="R183" s="59"/>
      <c r="S183" s="59"/>
      <c r="T183" s="59"/>
      <c r="U183" s="59">
        <v>179</v>
      </c>
      <c r="V183" s="59">
        <f t="shared" si="1714"/>
        <v>572.04596540273496</v>
      </c>
      <c r="W183" s="59">
        <v>15001.34</v>
      </c>
      <c r="X183" s="62">
        <f t="shared" si="1715"/>
        <v>0.10605097288696801</v>
      </c>
      <c r="Y183" s="62">
        <f t="shared" si="1716"/>
        <v>0.13696483148352001</v>
      </c>
      <c r="Z183" s="62">
        <f t="shared" si="1717"/>
        <v>0.13696483148352001</v>
      </c>
      <c r="AA183" s="59">
        <f t="shared" si="1718"/>
        <v>49.907516916372899</v>
      </c>
      <c r="AB183" s="59">
        <v>1396.7</v>
      </c>
      <c r="AC183" s="59">
        <f t="shared" si="1719"/>
        <v>98.126408037479806</v>
      </c>
      <c r="AD183" s="59"/>
      <c r="AE183" s="59"/>
      <c r="AF183" s="59">
        <v>21</v>
      </c>
      <c r="AG183" s="59">
        <f t="shared" si="1703"/>
        <v>21</v>
      </c>
      <c r="AH183" s="59">
        <f t="shared" si="1704"/>
        <v>239.77922675321</v>
      </c>
      <c r="AI183" s="59">
        <v>0.99427549194991105</v>
      </c>
      <c r="AJ183" s="59">
        <f t="shared" si="1705"/>
        <v>0.99427549194991105</v>
      </c>
      <c r="AK183" s="59">
        <f t="shared" si="1706"/>
        <v>459.50154401624098</v>
      </c>
      <c r="AL183" s="338"/>
      <c r="AM183" s="59"/>
      <c r="AN183" s="59">
        <v>2</v>
      </c>
      <c r="AO183" s="59">
        <f t="shared" si="1720"/>
        <v>1200</v>
      </c>
      <c r="AP183" s="59">
        <f t="shared" si="1721"/>
        <v>14771.064114495301</v>
      </c>
      <c r="AQ183" s="62">
        <v>84.150000000000006</v>
      </c>
      <c r="AR183" s="62" t="s">
        <v>442</v>
      </c>
      <c r="AS183" s="59">
        <v>600</v>
      </c>
      <c r="AT183" s="59" t="s">
        <v>443</v>
      </c>
      <c r="AU183" s="59"/>
      <c r="AV183" s="62">
        <v>15.189700278608999</v>
      </c>
      <c r="AW183" s="59">
        <f t="shared" si="1659"/>
        <v>388.06850912134399</v>
      </c>
      <c r="AX183" s="59">
        <v>21.6295023611336</v>
      </c>
      <c r="AY183" s="59"/>
      <c r="AZ183" s="59">
        <f t="shared" si="1707"/>
        <v>18378.493284742701</v>
      </c>
      <c r="BA183" s="59">
        <v>20202</v>
      </c>
      <c r="BB183" s="59">
        <f t="shared" si="1722"/>
        <v>18344.6593958704</v>
      </c>
      <c r="BC183" s="59">
        <f t="shared" si="1723"/>
        <v>33.833888872359204</v>
      </c>
      <c r="BD183" s="43">
        <f t="shared" si="1658"/>
        <v>1.84434543821379e-003</v>
      </c>
      <c r="BF183" s="341">
        <v>9737.2302256229705</v>
      </c>
      <c r="BG183" s="339"/>
    </row>
    <row r="184" s="5" customFormat="1" ht="17" customHeight="1">
      <c r="A184" s="65"/>
      <c r="B184" s="66" t="s">
        <v>222</v>
      </c>
      <c r="C184" s="67">
        <v>1</v>
      </c>
      <c r="D184" s="67"/>
      <c r="E184" s="67"/>
      <c r="F184" s="68"/>
      <c r="G184" s="69">
        <f t="shared" ref="G184:P184" si="1724">G185+G186</f>
        <v>332572</v>
      </c>
      <c r="H184" s="69">
        <f t="shared" si="1724"/>
        <v>266580.20000000001</v>
      </c>
      <c r="I184" s="69">
        <f t="shared" si="1724"/>
        <v>0</v>
      </c>
      <c r="J184" s="69">
        <f t="shared" si="1724"/>
        <v>29764.700000000001</v>
      </c>
      <c r="K184" s="69">
        <f t="shared" si="1724"/>
        <v>193843.20000000001</v>
      </c>
      <c r="L184" s="69">
        <f t="shared" si="1724"/>
        <v>42972.300000000003</v>
      </c>
      <c r="M184" s="69">
        <f t="shared" si="1724"/>
        <v>0</v>
      </c>
      <c r="N184" s="69">
        <f t="shared" si="1724"/>
        <v>38323</v>
      </c>
      <c r="O184" s="69">
        <f t="shared" si="1724"/>
        <v>21233</v>
      </c>
      <c r="P184" s="69">
        <f t="shared" si="1724"/>
        <v>0</v>
      </c>
      <c r="Q184" s="59">
        <v>0</v>
      </c>
      <c r="R184" s="69">
        <f t="shared" ref="R184:V184" si="1725">R185+R186</f>
        <v>0</v>
      </c>
      <c r="S184" s="69">
        <f t="shared" si="1725"/>
        <v>0</v>
      </c>
      <c r="T184" s="69">
        <f t="shared" si="1725"/>
        <v>0</v>
      </c>
      <c r="U184" s="69">
        <f t="shared" si="1725"/>
        <v>5669</v>
      </c>
      <c r="V184" s="69">
        <f t="shared" si="1725"/>
        <v>17531.982327440699</v>
      </c>
      <c r="W184" s="69"/>
      <c r="X184" s="69">
        <f t="shared" ref="X184:AM184" si="1726">X185+X186</f>
        <v>4.8279285850295803</v>
      </c>
      <c r="Y184" s="69">
        <f t="shared" si="1726"/>
        <v>22.550560991250599</v>
      </c>
      <c r="Z184" s="69">
        <f t="shared" si="1726"/>
        <v>16.799945298708099</v>
      </c>
      <c r="AA184" s="69">
        <f t="shared" si="1726"/>
        <v>6121.5973845833496</v>
      </c>
      <c r="AB184" s="69">
        <f t="shared" si="1726"/>
        <v>11356.93</v>
      </c>
      <c r="AC184" s="69">
        <f t="shared" si="1726"/>
        <v>797.89127746337397</v>
      </c>
      <c r="AD184" s="69">
        <f t="shared" si="1726"/>
        <v>1</v>
      </c>
      <c r="AE184" s="69">
        <f t="shared" si="1726"/>
        <v>0</v>
      </c>
      <c r="AF184" s="69">
        <f t="shared" si="1726"/>
        <v>352</v>
      </c>
      <c r="AG184" s="59">
        <f t="shared" si="1726"/>
        <v>352</v>
      </c>
      <c r="AH184" s="59">
        <f t="shared" si="1726"/>
        <v>4019.15656272047</v>
      </c>
      <c r="AI184" s="69">
        <f t="shared" si="1726"/>
        <v>8</v>
      </c>
      <c r="AJ184" s="59">
        <f t="shared" si="1726"/>
        <v>8</v>
      </c>
      <c r="AK184" s="59">
        <f t="shared" si="1726"/>
        <v>3697.1768708899399</v>
      </c>
      <c r="AL184" s="69">
        <f t="shared" si="1726"/>
        <v>0</v>
      </c>
      <c r="AM184" s="69">
        <f t="shared" si="1726"/>
        <v>0</v>
      </c>
      <c r="AN184" s="69">
        <v>12</v>
      </c>
      <c r="AO184" s="69">
        <f t="shared" ref="AO184:AR184" si="1727">AO185+AO186</f>
        <v>7200</v>
      </c>
      <c r="AP184" s="69">
        <f t="shared" si="1727"/>
        <v>0</v>
      </c>
      <c r="AQ184" s="69">
        <f t="shared" si="1727"/>
        <v>533.96000000000004</v>
      </c>
      <c r="AR184" s="69">
        <f t="shared" si="1727"/>
        <v>0</v>
      </c>
      <c r="AS184" s="69">
        <v>0</v>
      </c>
      <c r="AT184" s="69"/>
      <c r="AU184" s="69">
        <v>4000</v>
      </c>
      <c r="AV184" s="71">
        <f t="shared" ref="AV184:BC184" si="1728">AV185+AV186</f>
        <v>99.464973163380293</v>
      </c>
      <c r="AW184" s="71">
        <v>2541.14453460712</v>
      </c>
      <c r="AX184" s="69">
        <f t="shared" si="1728"/>
        <v>8309.3253883519701</v>
      </c>
      <c r="AY184" s="71">
        <f t="shared" si="1728"/>
        <v>0</v>
      </c>
      <c r="AZ184" s="71">
        <f t="shared" si="1728"/>
        <v>45908.948957704903</v>
      </c>
      <c r="BA184" s="71">
        <f t="shared" si="1728"/>
        <v>55378</v>
      </c>
      <c r="BB184" s="69">
        <f t="shared" si="1728"/>
        <v>50286.632413845597</v>
      </c>
      <c r="BC184" s="69">
        <f t="shared" si="1728"/>
        <v>-4377.6834561406504</v>
      </c>
      <c r="BD184" s="336">
        <f t="shared" si="1658"/>
        <v>-8.7054615630521595e-002</v>
      </c>
    </row>
    <row r="185" s="5" customFormat="1" ht="17" customHeight="1">
      <c r="A185" s="44"/>
      <c r="B185" s="72" t="s">
        <v>223</v>
      </c>
      <c r="C185" s="46">
        <v>2</v>
      </c>
      <c r="D185" s="46"/>
      <c r="E185" s="46"/>
      <c r="F185" s="46"/>
      <c r="G185" s="73"/>
      <c r="H185" s="59">
        <f t="shared" ref="H185:H194" si="1729">SUM(I185:M185)</f>
        <v>0</v>
      </c>
      <c r="I185" s="59">
        <f t="shared" ref="I185:I194" si="1730">IF(D185="",G185*0.6,0)</f>
        <v>0</v>
      </c>
      <c r="J185" s="59">
        <f t="shared" ref="J185:J194" si="1731">IF(D185=2017,G185*0.7,0)</f>
        <v>0</v>
      </c>
      <c r="K185" s="59">
        <f t="shared" ref="K185:K194" si="1732">IF(D185=2018,G185*0.8,0)</f>
        <v>0</v>
      </c>
      <c r="L185" s="59">
        <f t="shared" ref="L185:L194" si="1733">IF(D185=2019,G185*0.9,0)</f>
        <v>0</v>
      </c>
      <c r="M185" s="59">
        <f t="shared" ref="M185:M194" si="1734">IF(D185=2020,G185*1,0)</f>
        <v>0</v>
      </c>
      <c r="N185" s="59"/>
      <c r="O185" s="59"/>
      <c r="P185" s="59">
        <f>L185*0.4+M185*0.6+N185*0.8+O185*1</f>
        <v>0</v>
      </c>
      <c r="Q185" s="59"/>
      <c r="R185" s="59"/>
      <c r="S185" s="59"/>
      <c r="T185" s="59"/>
      <c r="U185" s="59"/>
      <c r="V185" s="59">
        <f>H185/$H$9*134866+N185/$N$9*202299+P185/$P$9*100000+U185/$U$9*34867</f>
        <v>0</v>
      </c>
      <c r="W185" s="59"/>
      <c r="X185" s="62"/>
      <c r="Y185" s="62"/>
      <c r="Z185" s="62"/>
      <c r="AA185" s="59"/>
      <c r="AB185" s="59"/>
      <c r="AC185" s="59"/>
      <c r="AD185" s="59"/>
      <c r="AE185" s="59"/>
      <c r="AF185" s="59"/>
      <c r="AG185" s="59">
        <f t="shared" ref="AG185:AG194" si="1735">AF185</f>
        <v>0</v>
      </c>
      <c r="AH185" s="59">
        <f t="shared" ref="AH185:AH194" si="1736">AG185/$AG$9*40459.89</f>
        <v>0</v>
      </c>
      <c r="AI185" s="59"/>
      <c r="AJ185" s="59">
        <f t="shared" ref="AJ185:AJ194" si="1737">AI185</f>
        <v>0</v>
      </c>
      <c r="AK185" s="59">
        <f t="shared" ref="AK185:AK194" si="1738">AJ185/$AJ$9*40459.89</f>
        <v>0</v>
      </c>
      <c r="AL185" s="59"/>
      <c r="AM185" s="59"/>
      <c r="AN185" s="59"/>
      <c r="AO185" s="59"/>
      <c r="AP185" s="59"/>
      <c r="AQ185" s="62"/>
      <c r="AR185" s="62"/>
      <c r="AS185" s="59"/>
      <c r="AT185" s="59"/>
      <c r="AU185" s="59"/>
      <c r="AV185" s="62"/>
      <c r="AW185" s="59">
        <v>0</v>
      </c>
      <c r="AX185" s="59"/>
      <c r="AY185" s="59"/>
      <c r="AZ185" s="59">
        <f t="shared" ref="AZ185:AZ194" si="1739">V185+AA185+AC185+AE185+AH185+AK185+AM185+AO185+AP185+AS185+AU185+AW185+AY185</f>
        <v>0</v>
      </c>
      <c r="BA185" s="73"/>
      <c r="BB185" s="170"/>
      <c r="BC185" s="50"/>
      <c r="BD185" s="43"/>
    </row>
    <row r="186" s="5" customFormat="1" ht="17" customHeight="1">
      <c r="A186" s="75"/>
      <c r="B186" s="76" t="s">
        <v>76</v>
      </c>
      <c r="C186" s="77">
        <v>3</v>
      </c>
      <c r="D186" s="77"/>
      <c r="E186" s="77"/>
      <c r="F186" s="78"/>
      <c r="G186" s="79">
        <f t="shared" ref="G186:P186" si="1740">SUM(G187:G194)</f>
        <v>332572</v>
      </c>
      <c r="H186" s="79">
        <f t="shared" si="1740"/>
        <v>266580.20000000001</v>
      </c>
      <c r="I186" s="79">
        <f t="shared" si="1740"/>
        <v>0</v>
      </c>
      <c r="J186" s="79">
        <f t="shared" si="1740"/>
        <v>29764.700000000001</v>
      </c>
      <c r="K186" s="79">
        <f t="shared" si="1740"/>
        <v>193843.20000000001</v>
      </c>
      <c r="L186" s="79">
        <f t="shared" si="1740"/>
        <v>42972.300000000003</v>
      </c>
      <c r="M186" s="79">
        <f t="shared" si="1740"/>
        <v>0</v>
      </c>
      <c r="N186" s="79">
        <f t="shared" si="1740"/>
        <v>38323</v>
      </c>
      <c r="O186" s="79">
        <f t="shared" si="1740"/>
        <v>21233</v>
      </c>
      <c r="P186" s="79">
        <f t="shared" si="1740"/>
        <v>0</v>
      </c>
      <c r="Q186" s="59">
        <v>0</v>
      </c>
      <c r="R186" s="79">
        <f t="shared" ref="R186:V186" si="1741">SUM(R187:R194)</f>
        <v>0</v>
      </c>
      <c r="S186" s="79">
        <f t="shared" si="1741"/>
        <v>0</v>
      </c>
      <c r="T186" s="79">
        <f t="shared" si="1741"/>
        <v>0</v>
      </c>
      <c r="U186" s="79">
        <f t="shared" si="1741"/>
        <v>5669</v>
      </c>
      <c r="V186" s="79">
        <f t="shared" si="1741"/>
        <v>17531.982327440699</v>
      </c>
      <c r="W186" s="79"/>
      <c r="X186" s="79">
        <f t="shared" ref="X186:AM186" si="1742">SUM(X187:X194)</f>
        <v>4.8279285850295803</v>
      </c>
      <c r="Y186" s="79">
        <f t="shared" si="1742"/>
        <v>22.550560991250599</v>
      </c>
      <c r="Z186" s="79">
        <f t="shared" si="1742"/>
        <v>16.799945298708099</v>
      </c>
      <c r="AA186" s="79">
        <f t="shared" si="1742"/>
        <v>6121.5973845833496</v>
      </c>
      <c r="AB186" s="79">
        <f t="shared" si="1742"/>
        <v>11356.93</v>
      </c>
      <c r="AC186" s="79">
        <f t="shared" si="1742"/>
        <v>797.89127746337397</v>
      </c>
      <c r="AD186" s="79">
        <f t="shared" si="1742"/>
        <v>1</v>
      </c>
      <c r="AE186" s="79">
        <f t="shared" si="1742"/>
        <v>0</v>
      </c>
      <c r="AF186" s="79">
        <f t="shared" si="1742"/>
        <v>352</v>
      </c>
      <c r="AG186" s="59">
        <f t="shared" si="1742"/>
        <v>352</v>
      </c>
      <c r="AH186" s="59">
        <f t="shared" si="1742"/>
        <v>4019.15656272047</v>
      </c>
      <c r="AI186" s="79">
        <f t="shared" si="1742"/>
        <v>8</v>
      </c>
      <c r="AJ186" s="59">
        <f t="shared" si="1742"/>
        <v>8</v>
      </c>
      <c r="AK186" s="59">
        <f t="shared" si="1742"/>
        <v>3697.1768708899399</v>
      </c>
      <c r="AL186" s="79">
        <f t="shared" si="1742"/>
        <v>0</v>
      </c>
      <c r="AM186" s="79">
        <f t="shared" si="1742"/>
        <v>0</v>
      </c>
      <c r="AN186" s="79">
        <v>12</v>
      </c>
      <c r="AO186" s="79">
        <f t="shared" ref="AO186:AR186" si="1743">SUM(AO187:AO194)</f>
        <v>7200</v>
      </c>
      <c r="AP186" s="79">
        <f t="shared" si="1743"/>
        <v>0</v>
      </c>
      <c r="AQ186" s="79">
        <f t="shared" si="1743"/>
        <v>533.96000000000004</v>
      </c>
      <c r="AR186" s="79">
        <f t="shared" si="1743"/>
        <v>0</v>
      </c>
      <c r="AS186" s="79">
        <v>0</v>
      </c>
      <c r="AT186" s="79"/>
      <c r="AU186" s="79">
        <v>4000</v>
      </c>
      <c r="AV186" s="81">
        <f t="shared" ref="AV186:BC186" si="1744">SUM(AV187:AV194)</f>
        <v>99.464973163380293</v>
      </c>
      <c r="AW186" s="81">
        <v>2541.14453460712</v>
      </c>
      <c r="AX186" s="79">
        <f t="shared" si="1744"/>
        <v>8309.3253883519701</v>
      </c>
      <c r="AY186" s="81">
        <f t="shared" si="1744"/>
        <v>0</v>
      </c>
      <c r="AZ186" s="81">
        <f t="shared" si="1744"/>
        <v>45908.948957704903</v>
      </c>
      <c r="BA186" s="81">
        <f t="shared" si="1744"/>
        <v>55378</v>
      </c>
      <c r="BB186" s="79">
        <f t="shared" si="1744"/>
        <v>50286.632413845597</v>
      </c>
      <c r="BC186" s="79">
        <f t="shared" si="1744"/>
        <v>-4377.6834561406504</v>
      </c>
      <c r="BD186" s="337">
        <f t="shared" si="1658"/>
        <v>-8.7054615630521595e-002</v>
      </c>
    </row>
    <row r="187" ht="17" customHeight="1">
      <c r="A187" s="46">
        <v>122</v>
      </c>
      <c r="B187" s="82" t="s">
        <v>225</v>
      </c>
      <c r="C187" s="46" t="s">
        <v>90</v>
      </c>
      <c r="D187" s="46">
        <v>2018</v>
      </c>
      <c r="E187" s="46" t="s">
        <v>91</v>
      </c>
      <c r="F187" s="46"/>
      <c r="G187" s="73">
        <v>67610</v>
      </c>
      <c r="H187" s="59">
        <f t="shared" si="1729"/>
        <v>54088</v>
      </c>
      <c r="I187" s="59">
        <f t="shared" si="1730"/>
        <v>0</v>
      </c>
      <c r="J187" s="59">
        <f t="shared" si="1731"/>
        <v>0</v>
      </c>
      <c r="K187" s="59">
        <f t="shared" si="1732"/>
        <v>54088</v>
      </c>
      <c r="L187" s="59">
        <f t="shared" si="1733"/>
        <v>0</v>
      </c>
      <c r="M187" s="59">
        <f t="shared" si="1734"/>
        <v>0</v>
      </c>
      <c r="N187" s="59">
        <v>7366</v>
      </c>
      <c r="O187" s="59">
        <v>3875</v>
      </c>
      <c r="P187" s="59">
        <f t="shared" ref="P187:P194" si="1745">Q187*0.6+R187*0.8+S187*1+T187*1.25</f>
        <v>0</v>
      </c>
      <c r="Q187" s="59"/>
      <c r="R187" s="59"/>
      <c r="S187" s="59"/>
      <c r="T187" s="59"/>
      <c r="U187" s="59">
        <v>1831</v>
      </c>
      <c r="V187" s="59">
        <f t="shared" ref="V187:V194" si="1746">H187/$H$9*(134866+26973)+N187/$N$9*202299+P187/$P$9*100000+U187/$U$9*34867</f>
        <v>3625.7354224598498</v>
      </c>
      <c r="W187" s="59">
        <v>11668.25</v>
      </c>
      <c r="X187" s="62">
        <f t="shared" ref="X187:X194" si="1747">($W$64-W187)/($W$64-$W$44)</f>
        <v>0.64390465094513205</v>
      </c>
      <c r="Y187" s="62">
        <f t="shared" ref="Y187:Y194" si="1748">(G187+N187)*X187/10000</f>
        <v>4.8277395109262198</v>
      </c>
      <c r="Z187" s="62">
        <f>Y187*1</f>
        <v>4.8277395109262198</v>
      </c>
      <c r="AA187" s="59">
        <f t="shared" ref="AA187:AA194" si="1749">Z187/$Z$9*(1348663*0.1+30000)</f>
        <v>1759.1412970736501</v>
      </c>
      <c r="AB187" s="59">
        <v>2063.2800000000002</v>
      </c>
      <c r="AC187" s="59">
        <f t="shared" ref="AC187:AC194" si="1750">(AB187/$AB$9*1348663*0.037)</f>
        <v>144.95758228364801</v>
      </c>
      <c r="AD187" s="59"/>
      <c r="AE187" s="59"/>
      <c r="AF187" s="59">
        <v>80</v>
      </c>
      <c r="AG187" s="59">
        <f t="shared" si="1735"/>
        <v>80</v>
      </c>
      <c r="AH187" s="59">
        <f t="shared" si="1736"/>
        <v>913.44467334556202</v>
      </c>
      <c r="AI187" s="59">
        <v>1</v>
      </c>
      <c r="AJ187" s="59">
        <f t="shared" si="1737"/>
        <v>1</v>
      </c>
      <c r="AK187" s="59">
        <f t="shared" si="1738"/>
        <v>462.147108861243</v>
      </c>
      <c r="AL187" s="338"/>
      <c r="AM187" s="59"/>
      <c r="AN187" s="59">
        <v>2</v>
      </c>
      <c r="AO187" s="59">
        <f t="shared" ref="AO187:AO194" si="1751">AN187*600</f>
        <v>1200</v>
      </c>
      <c r="AP187" s="59"/>
      <c r="AQ187" s="62">
        <v>74.890000000000001</v>
      </c>
      <c r="AR187" s="62" t="s">
        <v>440</v>
      </c>
      <c r="AS187" s="59"/>
      <c r="AT187" s="59" t="s">
        <v>443</v>
      </c>
      <c r="AU187" s="59"/>
      <c r="AV187" s="62">
        <v>13.769624942559901</v>
      </c>
      <c r="AW187" s="59">
        <f t="shared" si="1659"/>
        <v>351.78823311901601</v>
      </c>
      <c r="AX187" s="59">
        <v>0</v>
      </c>
      <c r="AY187" s="59"/>
      <c r="AZ187" s="59">
        <f t="shared" si="1739"/>
        <v>8457.2143171429598</v>
      </c>
      <c r="BA187" s="59">
        <v>8455</v>
      </c>
      <c r="BB187" s="59">
        <f t="shared" ref="BB187:BB194" si="1752">BA187/$BA$9*1348663</f>
        <v>7677.6603896685401</v>
      </c>
      <c r="BC187" s="59">
        <f t="shared" ref="BC187:BC194" si="1753">AZ187-BB187</f>
        <v>779.55392747442295</v>
      </c>
      <c r="BD187" s="43">
        <f t="shared" si="1658"/>
        <v>0.10153534903985</v>
      </c>
    </row>
    <row r="188" ht="17" customHeight="1">
      <c r="A188" s="46">
        <v>123</v>
      </c>
      <c r="B188" s="82" t="s">
        <v>226</v>
      </c>
      <c r="C188" s="46" t="s">
        <v>90</v>
      </c>
      <c r="D188" s="46">
        <v>2017</v>
      </c>
      <c r="E188" s="46"/>
      <c r="F188" s="46"/>
      <c r="G188" s="73">
        <v>42521</v>
      </c>
      <c r="H188" s="59">
        <f t="shared" si="1729"/>
        <v>29764.700000000001</v>
      </c>
      <c r="I188" s="59">
        <f t="shared" si="1730"/>
        <v>0</v>
      </c>
      <c r="J188" s="59">
        <f t="shared" si="1731"/>
        <v>29764.700000000001</v>
      </c>
      <c r="K188" s="59">
        <f t="shared" si="1732"/>
        <v>0</v>
      </c>
      <c r="L188" s="59">
        <f t="shared" si="1733"/>
        <v>0</v>
      </c>
      <c r="M188" s="59">
        <f t="shared" si="1734"/>
        <v>0</v>
      </c>
      <c r="N188" s="59">
        <v>5322</v>
      </c>
      <c r="O188" s="59">
        <v>1690</v>
      </c>
      <c r="P188" s="59">
        <f t="shared" si="1745"/>
        <v>0</v>
      </c>
      <c r="Q188" s="59"/>
      <c r="R188" s="59"/>
      <c r="S188" s="59"/>
      <c r="T188" s="59"/>
      <c r="U188" s="59">
        <v>0</v>
      </c>
      <c r="V188" s="59">
        <f t="shared" si="1746"/>
        <v>2043.1463558599901</v>
      </c>
      <c r="W188" s="59">
        <v>11899.709999999999</v>
      </c>
      <c r="X188" s="62">
        <f t="shared" si="1747"/>
        <v>0.60655444068277997</v>
      </c>
      <c r="Y188" s="62">
        <f t="shared" si="1748"/>
        <v>2.9019384105586199</v>
      </c>
      <c r="Z188" s="62">
        <f t="shared" ref="Z188:Z193" si="1754">Y188*0.5</f>
        <v>1.4509692052793099</v>
      </c>
      <c r="AA188" s="59">
        <f t="shared" si="1749"/>
        <v>528.70703649444999</v>
      </c>
      <c r="AB188" s="59">
        <v>540.89999999999998</v>
      </c>
      <c r="AC188" s="59">
        <f t="shared" si="1750"/>
        <v>38.001413408371697</v>
      </c>
      <c r="AD188" s="59"/>
      <c r="AE188" s="59"/>
      <c r="AF188" s="59">
        <v>60</v>
      </c>
      <c r="AG188" s="59">
        <f t="shared" si="1735"/>
        <v>60</v>
      </c>
      <c r="AH188" s="59">
        <f t="shared" si="1736"/>
        <v>685.08350500917197</v>
      </c>
      <c r="AI188" s="59">
        <v>1</v>
      </c>
      <c r="AJ188" s="59">
        <f t="shared" si="1737"/>
        <v>1</v>
      </c>
      <c r="AK188" s="59">
        <f t="shared" si="1738"/>
        <v>462.147108861243</v>
      </c>
      <c r="AL188" s="338"/>
      <c r="AM188" s="59"/>
      <c r="AN188" s="59">
        <v>1</v>
      </c>
      <c r="AO188" s="59">
        <f t="shared" si="1751"/>
        <v>600</v>
      </c>
      <c r="AP188" s="59"/>
      <c r="AQ188" s="62">
        <v>60.530000000000001</v>
      </c>
      <c r="AR188" s="62" t="s">
        <v>440</v>
      </c>
      <c r="AS188" s="59"/>
      <c r="AT188" s="59" t="s">
        <v>441</v>
      </c>
      <c r="AU188" s="59">
        <v>800</v>
      </c>
      <c r="AV188" s="62">
        <v>13.103618342990901</v>
      </c>
      <c r="AW188" s="59">
        <f t="shared" si="1659"/>
        <v>334.77300678675698</v>
      </c>
      <c r="AX188" s="59">
        <v>2414.3935612677801</v>
      </c>
      <c r="AY188" s="59"/>
      <c r="AZ188" s="59">
        <f t="shared" si="1739"/>
        <v>5491.8584264199799</v>
      </c>
      <c r="BA188" s="59">
        <v>3360</v>
      </c>
      <c r="BB188" s="59">
        <f t="shared" si="1752"/>
        <v>3051.08680180796</v>
      </c>
      <c r="BC188" s="59">
        <f t="shared" si="1753"/>
        <v>2440.7716246120199</v>
      </c>
      <c r="BD188" s="43">
        <f t="shared" si="1658"/>
        <v>0.79996794033054497</v>
      </c>
    </row>
    <row r="189" ht="17" customHeight="1">
      <c r="A189" s="46">
        <v>124</v>
      </c>
      <c r="B189" s="82" t="s">
        <v>224</v>
      </c>
      <c r="C189" s="46" t="s">
        <v>90</v>
      </c>
      <c r="D189" s="46">
        <v>2018</v>
      </c>
      <c r="E189" s="46"/>
      <c r="F189" s="46"/>
      <c r="G189" s="73">
        <v>38517</v>
      </c>
      <c r="H189" s="59">
        <f t="shared" si="1729"/>
        <v>30813.599999999999</v>
      </c>
      <c r="I189" s="59">
        <f t="shared" si="1730"/>
        <v>0</v>
      </c>
      <c r="J189" s="59">
        <f t="shared" si="1731"/>
        <v>0</v>
      </c>
      <c r="K189" s="59">
        <f t="shared" si="1732"/>
        <v>30813.599999999999</v>
      </c>
      <c r="L189" s="59">
        <f t="shared" si="1733"/>
        <v>0</v>
      </c>
      <c r="M189" s="59">
        <f t="shared" si="1734"/>
        <v>0</v>
      </c>
      <c r="N189" s="59">
        <v>4272</v>
      </c>
      <c r="O189" s="59">
        <v>4109</v>
      </c>
      <c r="P189" s="59">
        <f t="shared" si="1745"/>
        <v>0</v>
      </c>
      <c r="Q189" s="59"/>
      <c r="R189" s="59"/>
      <c r="S189" s="59"/>
      <c r="T189" s="59"/>
      <c r="U189" s="59">
        <v>827</v>
      </c>
      <c r="V189" s="59">
        <f t="shared" si="1746"/>
        <v>2031.5256717423799</v>
      </c>
      <c r="W189" s="59">
        <v>12342.84</v>
      </c>
      <c r="X189" s="62">
        <f t="shared" si="1747"/>
        <v>0.53504749056804701</v>
      </c>
      <c r="Y189" s="62">
        <f t="shared" si="1748"/>
        <v>2.2894147073916198</v>
      </c>
      <c r="Z189" s="62">
        <f t="shared" si="1754"/>
        <v>1.1447073536958099</v>
      </c>
      <c r="AA189" s="59">
        <f t="shared" si="1749"/>
        <v>417.11073565438699</v>
      </c>
      <c r="AB189" s="59">
        <v>3068.3000000000002</v>
      </c>
      <c r="AC189" s="59">
        <f t="shared" si="1750"/>
        <v>215.56616151027399</v>
      </c>
      <c r="AD189" s="59"/>
      <c r="AE189" s="59"/>
      <c r="AF189" s="59">
        <v>58</v>
      </c>
      <c r="AG189" s="59">
        <f t="shared" si="1735"/>
        <v>58</v>
      </c>
      <c r="AH189" s="59">
        <f t="shared" si="1736"/>
        <v>662.24738817553305</v>
      </c>
      <c r="AI189" s="59">
        <v>1</v>
      </c>
      <c r="AJ189" s="59">
        <f t="shared" si="1737"/>
        <v>1</v>
      </c>
      <c r="AK189" s="59">
        <f t="shared" si="1738"/>
        <v>462.147108861243</v>
      </c>
      <c r="AL189" s="338"/>
      <c r="AM189" s="59"/>
      <c r="AN189" s="59">
        <v>1</v>
      </c>
      <c r="AO189" s="59">
        <f t="shared" si="1751"/>
        <v>600</v>
      </c>
      <c r="AP189" s="59"/>
      <c r="AQ189" s="62">
        <v>74.340000000000003</v>
      </c>
      <c r="AR189" s="62" t="s">
        <v>440</v>
      </c>
      <c r="AS189" s="59"/>
      <c r="AT189" s="59" t="s">
        <v>441</v>
      </c>
      <c r="AU189" s="59">
        <v>800</v>
      </c>
      <c r="AV189" s="62">
        <v>13.167752898625</v>
      </c>
      <c r="AW189" s="59">
        <f t="shared" si="1659"/>
        <v>336.41152505450299</v>
      </c>
      <c r="AX189" s="59">
        <v>1840.90431948733</v>
      </c>
      <c r="AY189" s="59"/>
      <c r="AZ189" s="59">
        <f t="shared" si="1739"/>
        <v>5525.00859099831</v>
      </c>
      <c r="BA189" s="59">
        <v>3594</v>
      </c>
      <c r="BB189" s="59">
        <f t="shared" si="1752"/>
        <v>3263.5732040767298</v>
      </c>
      <c r="BC189" s="59">
        <f t="shared" si="1753"/>
        <v>2261.4353869215902</v>
      </c>
      <c r="BD189" s="43">
        <f t="shared" si="1658"/>
        <v>0.69293233076454097</v>
      </c>
    </row>
    <row r="190" ht="17" customHeight="1">
      <c r="A190" s="46">
        <v>125</v>
      </c>
      <c r="B190" s="82" t="s">
        <v>227</v>
      </c>
      <c r="C190" s="46" t="s">
        <v>90</v>
      </c>
      <c r="D190" s="46">
        <v>2019</v>
      </c>
      <c r="E190" s="46" t="s">
        <v>91</v>
      </c>
      <c r="F190" s="46"/>
      <c r="G190" s="73">
        <v>47747</v>
      </c>
      <c r="H190" s="59">
        <f t="shared" si="1729"/>
        <v>42972.300000000003</v>
      </c>
      <c r="I190" s="59">
        <f t="shared" si="1730"/>
        <v>0</v>
      </c>
      <c r="J190" s="59">
        <f t="shared" si="1731"/>
        <v>0</v>
      </c>
      <c r="K190" s="59">
        <f t="shared" si="1732"/>
        <v>0</v>
      </c>
      <c r="L190" s="59">
        <f t="shared" si="1733"/>
        <v>42972.300000000003</v>
      </c>
      <c r="M190" s="59">
        <f t="shared" si="1734"/>
        <v>0</v>
      </c>
      <c r="N190" s="59">
        <v>5243</v>
      </c>
      <c r="O190" s="59">
        <v>446</v>
      </c>
      <c r="P190" s="59">
        <f t="shared" si="1745"/>
        <v>0</v>
      </c>
      <c r="Q190" s="59"/>
      <c r="R190" s="59"/>
      <c r="S190" s="59"/>
      <c r="T190" s="59"/>
      <c r="U190" s="59">
        <v>1186</v>
      </c>
      <c r="V190" s="59">
        <f t="shared" si="1746"/>
        <v>2679.6615850336002</v>
      </c>
      <c r="W190" s="59">
        <v>11861.950000000001</v>
      </c>
      <c r="X190" s="62">
        <f t="shared" si="1747"/>
        <v>0.612647691955166</v>
      </c>
      <c r="Y190" s="62">
        <f t="shared" si="1748"/>
        <v>3.2464201196704199</v>
      </c>
      <c r="Z190" s="62">
        <f>Y190*1</f>
        <v>3.2464201196704199</v>
      </c>
      <c r="AA190" s="59">
        <f t="shared" si="1749"/>
        <v>1182.9370013104401</v>
      </c>
      <c r="AB190" s="59">
        <v>2441.1399999999999</v>
      </c>
      <c r="AC190" s="59">
        <f t="shared" si="1750"/>
        <v>171.50447463063901</v>
      </c>
      <c r="AD190" s="59">
        <v>1</v>
      </c>
      <c r="AE190" s="59"/>
      <c r="AF190" s="59">
        <v>45</v>
      </c>
      <c r="AG190" s="59">
        <f t="shared" si="1735"/>
        <v>45</v>
      </c>
      <c r="AH190" s="59">
        <f t="shared" si="1736"/>
        <v>513.81262875687901</v>
      </c>
      <c r="AI190" s="59">
        <v>1</v>
      </c>
      <c r="AJ190" s="59">
        <f t="shared" si="1737"/>
        <v>1</v>
      </c>
      <c r="AK190" s="59">
        <f t="shared" si="1738"/>
        <v>462.147108861243</v>
      </c>
      <c r="AL190" s="338"/>
      <c r="AM190" s="59"/>
      <c r="AN190" s="59">
        <v>2</v>
      </c>
      <c r="AO190" s="59">
        <f t="shared" si="1751"/>
        <v>1200</v>
      </c>
      <c r="AP190" s="59"/>
      <c r="AQ190" s="62">
        <v>66.989999999999995</v>
      </c>
      <c r="AR190" s="62" t="s">
        <v>440</v>
      </c>
      <c r="AS190" s="59"/>
      <c r="AT190" s="59" t="s">
        <v>441</v>
      </c>
      <c r="AU190" s="59">
        <v>800</v>
      </c>
      <c r="AV190" s="62">
        <v>5.5317696607837599</v>
      </c>
      <c r="AW190" s="59">
        <f t="shared" si="1659"/>
        <v>141.32639655083599</v>
      </c>
      <c r="AX190" s="59">
        <v>0</v>
      </c>
      <c r="AY190" s="59"/>
      <c r="AZ190" s="59">
        <f t="shared" si="1739"/>
        <v>7151.3891951436399</v>
      </c>
      <c r="BA190" s="59">
        <v>6875</v>
      </c>
      <c r="BB190" s="59">
        <f t="shared" si="1752"/>
        <v>6242.9231435802703</v>
      </c>
      <c r="BC190" s="59">
        <f t="shared" si="1753"/>
        <v>908.46605156337</v>
      </c>
      <c r="BD190" s="43">
        <f t="shared" si="1658"/>
        <v>0.14551933936549699</v>
      </c>
    </row>
    <row r="191" s="5" customFormat="1" ht="17" customHeight="1">
      <c r="A191" s="46">
        <v>126</v>
      </c>
      <c r="B191" s="82" t="s">
        <v>228</v>
      </c>
      <c r="C191" s="46" t="s">
        <v>90</v>
      </c>
      <c r="D191" s="46">
        <v>2018</v>
      </c>
      <c r="E191" s="46"/>
      <c r="F191" s="46" t="s">
        <v>146</v>
      </c>
      <c r="G191" s="73">
        <v>32790</v>
      </c>
      <c r="H191" s="59">
        <f t="shared" si="1729"/>
        <v>26232</v>
      </c>
      <c r="I191" s="59">
        <f t="shared" si="1730"/>
        <v>0</v>
      </c>
      <c r="J191" s="59">
        <f t="shared" si="1731"/>
        <v>0</v>
      </c>
      <c r="K191" s="59">
        <f t="shared" si="1732"/>
        <v>26232</v>
      </c>
      <c r="L191" s="59">
        <f t="shared" si="1733"/>
        <v>0</v>
      </c>
      <c r="M191" s="59">
        <f t="shared" si="1734"/>
        <v>0</v>
      </c>
      <c r="N191" s="59">
        <v>4495</v>
      </c>
      <c r="O191" s="59">
        <v>1212</v>
      </c>
      <c r="P191" s="59">
        <f t="shared" si="1745"/>
        <v>0</v>
      </c>
      <c r="Q191" s="59"/>
      <c r="R191" s="59"/>
      <c r="S191" s="59"/>
      <c r="T191" s="59"/>
      <c r="U191" s="59">
        <v>651</v>
      </c>
      <c r="V191" s="59">
        <f t="shared" si="1746"/>
        <v>1910.5012651823999</v>
      </c>
      <c r="W191" s="59">
        <v>12185.77</v>
      </c>
      <c r="X191" s="62">
        <f t="shared" si="1747"/>
        <v>0.56039354399372598</v>
      </c>
      <c r="Y191" s="62">
        <f t="shared" si="1748"/>
        <v>2.08942732878061</v>
      </c>
      <c r="Z191" s="62">
        <f t="shared" si="1754"/>
        <v>1.0447136643902999</v>
      </c>
      <c r="AA191" s="59">
        <f t="shared" si="1749"/>
        <v>380.67483684378197</v>
      </c>
      <c r="AB191" s="59">
        <v>447.10000000000002</v>
      </c>
      <c r="AC191" s="59">
        <f t="shared" si="1750"/>
        <v>31.411410491556701</v>
      </c>
      <c r="AD191" s="59"/>
      <c r="AE191" s="59"/>
      <c r="AF191" s="59">
        <v>25</v>
      </c>
      <c r="AG191" s="59">
        <f t="shared" si="1735"/>
        <v>25</v>
      </c>
      <c r="AH191" s="59">
        <f t="shared" si="1736"/>
        <v>285.45146042048799</v>
      </c>
      <c r="AI191" s="59">
        <v>1</v>
      </c>
      <c r="AJ191" s="59">
        <f t="shared" si="1737"/>
        <v>1</v>
      </c>
      <c r="AK191" s="59">
        <f t="shared" si="1738"/>
        <v>462.147108861243</v>
      </c>
      <c r="AL191" s="338"/>
      <c r="AM191" s="59"/>
      <c r="AN191" s="59">
        <v>1</v>
      </c>
      <c r="AO191" s="59">
        <f t="shared" si="1751"/>
        <v>600</v>
      </c>
      <c r="AP191" s="59"/>
      <c r="AQ191" s="62">
        <v>61.649999999999999</v>
      </c>
      <c r="AR191" s="62" t="s">
        <v>440</v>
      </c>
      <c r="AS191" s="59"/>
      <c r="AT191" s="59" t="s">
        <v>443</v>
      </c>
      <c r="AU191" s="59"/>
      <c r="AV191" s="62">
        <v>14.168579395885599</v>
      </c>
      <c r="AW191" s="59">
        <f t="shared" si="1659"/>
        <v>361.98077524095999</v>
      </c>
      <c r="AX191" s="59">
        <v>1548.75218367856</v>
      </c>
      <c r="AY191" s="59"/>
      <c r="AZ191" s="59">
        <f t="shared" si="1739"/>
        <v>4032.1668570404299</v>
      </c>
      <c r="BA191" s="59">
        <v>9068</v>
      </c>
      <c r="BB191" s="59">
        <f t="shared" si="1752"/>
        <v>8234.30211868886</v>
      </c>
      <c r="BC191" s="59">
        <f t="shared" si="1753"/>
        <v>-4202.1352616484301</v>
      </c>
      <c r="BD191" s="43">
        <f t="shared" si="1658"/>
        <v>-0.51032075348694295</v>
      </c>
    </row>
    <row r="192" ht="17" customHeight="1">
      <c r="A192" s="46">
        <v>127</v>
      </c>
      <c r="B192" s="82" t="s">
        <v>229</v>
      </c>
      <c r="C192" s="46" t="s">
        <v>90</v>
      </c>
      <c r="D192" s="46">
        <v>2018</v>
      </c>
      <c r="E192" s="46"/>
      <c r="F192" s="46"/>
      <c r="G192" s="73">
        <v>26354</v>
      </c>
      <c r="H192" s="59">
        <f t="shared" si="1729"/>
        <v>21083.200000000001</v>
      </c>
      <c r="I192" s="59">
        <f t="shared" si="1730"/>
        <v>0</v>
      </c>
      <c r="J192" s="59">
        <f t="shared" si="1731"/>
        <v>0</v>
      </c>
      <c r="K192" s="59">
        <f t="shared" si="1732"/>
        <v>21083.200000000001</v>
      </c>
      <c r="L192" s="59">
        <f t="shared" si="1733"/>
        <v>0</v>
      </c>
      <c r="M192" s="59">
        <f t="shared" si="1734"/>
        <v>0</v>
      </c>
      <c r="N192" s="59">
        <v>2902</v>
      </c>
      <c r="O192" s="59">
        <v>3784</v>
      </c>
      <c r="P192" s="59">
        <f t="shared" si="1745"/>
        <v>0</v>
      </c>
      <c r="Q192" s="59"/>
      <c r="R192" s="59"/>
      <c r="S192" s="59"/>
      <c r="T192" s="59"/>
      <c r="U192" s="59">
        <v>314</v>
      </c>
      <c r="V192" s="59">
        <f t="shared" si="1746"/>
        <v>1325.7300942061099</v>
      </c>
      <c r="W192" s="59">
        <v>11868.41</v>
      </c>
      <c r="X192" s="62">
        <f t="shared" si="1747"/>
        <v>0.61160525542922295</v>
      </c>
      <c r="Y192" s="62">
        <f t="shared" si="1748"/>
        <v>1.7893123352837299</v>
      </c>
      <c r="Z192" s="62">
        <f t="shared" si="1754"/>
        <v>0.89465616764186695</v>
      </c>
      <c r="AA192" s="59">
        <f t="shared" si="1749"/>
        <v>325.996588593593</v>
      </c>
      <c r="AB192" s="59">
        <v>564.48000000000002</v>
      </c>
      <c r="AC192" s="59">
        <f t="shared" si="1750"/>
        <v>39.658047403878101</v>
      </c>
      <c r="AD192" s="59"/>
      <c r="AE192" s="59"/>
      <c r="AF192" s="59">
        <v>51</v>
      </c>
      <c r="AG192" s="59">
        <f t="shared" si="1735"/>
        <v>51</v>
      </c>
      <c r="AH192" s="59">
        <f t="shared" si="1736"/>
        <v>582.32097925779601</v>
      </c>
      <c r="AI192" s="59">
        <v>1</v>
      </c>
      <c r="AJ192" s="59">
        <f t="shared" si="1737"/>
        <v>1</v>
      </c>
      <c r="AK192" s="59">
        <f t="shared" si="1738"/>
        <v>462.147108861243</v>
      </c>
      <c r="AL192" s="338"/>
      <c r="AM192" s="59"/>
      <c r="AN192" s="59">
        <v>1</v>
      </c>
      <c r="AO192" s="59">
        <f t="shared" si="1751"/>
        <v>600</v>
      </c>
      <c r="AP192" s="59"/>
      <c r="AQ192" s="62">
        <v>73.359999999999999</v>
      </c>
      <c r="AR192" s="62" t="s">
        <v>440</v>
      </c>
      <c r="AS192" s="59"/>
      <c r="AT192" s="59" t="s">
        <v>441</v>
      </c>
      <c r="AU192" s="59">
        <v>800</v>
      </c>
      <c r="AV192" s="62">
        <v>12.802758602890901</v>
      </c>
      <c r="AW192" s="59">
        <f t="shared" si="1659"/>
        <v>327.08660161392697</v>
      </c>
      <c r="AX192" s="59">
        <v>1.8358565302567</v>
      </c>
      <c r="AY192" s="59"/>
      <c r="AZ192" s="59">
        <f t="shared" si="1739"/>
        <v>4462.9394199365497</v>
      </c>
      <c r="BA192" s="59">
        <v>2791</v>
      </c>
      <c r="BB192" s="59">
        <f t="shared" si="1752"/>
        <v>2534.3997809065499</v>
      </c>
      <c r="BC192" s="59">
        <f t="shared" si="1753"/>
        <v>1928.53963903</v>
      </c>
      <c r="BD192" s="43">
        <f t="shared" si="1658"/>
        <v>0.76094531476804395</v>
      </c>
    </row>
    <row r="193" ht="17" customHeight="1">
      <c r="A193" s="46">
        <v>128</v>
      </c>
      <c r="B193" s="82" t="s">
        <v>230</v>
      </c>
      <c r="C193" s="46" t="s">
        <v>90</v>
      </c>
      <c r="D193" s="46">
        <v>2018</v>
      </c>
      <c r="E193" s="46"/>
      <c r="F193" s="46" t="s">
        <v>146</v>
      </c>
      <c r="G193" s="73">
        <v>36967</v>
      </c>
      <c r="H193" s="59">
        <f t="shared" si="1729"/>
        <v>29573.599999999999</v>
      </c>
      <c r="I193" s="59">
        <f t="shared" si="1730"/>
        <v>0</v>
      </c>
      <c r="J193" s="59">
        <f t="shared" si="1731"/>
        <v>0</v>
      </c>
      <c r="K193" s="59">
        <f t="shared" si="1732"/>
        <v>29573.599999999999</v>
      </c>
      <c r="L193" s="59">
        <f t="shared" si="1733"/>
        <v>0</v>
      </c>
      <c r="M193" s="59">
        <f t="shared" si="1734"/>
        <v>0</v>
      </c>
      <c r="N193" s="59">
        <v>3335</v>
      </c>
      <c r="O193" s="59">
        <v>4547</v>
      </c>
      <c r="P193" s="59">
        <f t="shared" si="1745"/>
        <v>0</v>
      </c>
      <c r="Q193" s="59"/>
      <c r="R193" s="59"/>
      <c r="S193" s="59"/>
      <c r="T193" s="59"/>
      <c r="U193" s="59">
        <v>16</v>
      </c>
      <c r="V193" s="59">
        <f t="shared" si="1746"/>
        <v>1593.3238273987299</v>
      </c>
      <c r="W193" s="59">
        <v>11920.309999999999</v>
      </c>
      <c r="X193" s="62">
        <f t="shared" si="1747"/>
        <v>0.60323026228735799</v>
      </c>
      <c r="Y193" s="62">
        <f t="shared" si="1748"/>
        <v>2.4311386030705102</v>
      </c>
      <c r="Z193" s="62">
        <f t="shared" si="1754"/>
        <v>1.21556930153525</v>
      </c>
      <c r="AA193" s="59">
        <f t="shared" si="1749"/>
        <v>442.93155273727302</v>
      </c>
      <c r="AB193" s="59">
        <v>1627.3299999999999</v>
      </c>
      <c r="AC193" s="59">
        <f t="shared" si="1750"/>
        <v>114.329525017278</v>
      </c>
      <c r="AD193" s="59"/>
      <c r="AE193" s="59"/>
      <c r="AF193" s="59">
        <v>12</v>
      </c>
      <c r="AG193" s="59">
        <f t="shared" si="1735"/>
        <v>12</v>
      </c>
      <c r="AH193" s="59">
        <f t="shared" si="1736"/>
        <v>137.01670100183401</v>
      </c>
      <c r="AI193" s="59">
        <v>1</v>
      </c>
      <c r="AJ193" s="59">
        <f t="shared" si="1737"/>
        <v>1</v>
      </c>
      <c r="AK193" s="59">
        <f t="shared" si="1738"/>
        <v>462.147108861243</v>
      </c>
      <c r="AL193" s="338"/>
      <c r="AM193" s="59"/>
      <c r="AN193" s="59">
        <v>1</v>
      </c>
      <c r="AO193" s="59">
        <f t="shared" si="1751"/>
        <v>600</v>
      </c>
      <c r="AP193" s="59"/>
      <c r="AQ193" s="62">
        <v>56.780000000000001</v>
      </c>
      <c r="AR193" s="62" t="s">
        <v>445</v>
      </c>
      <c r="AS193" s="59"/>
      <c r="AT193" s="59" t="s">
        <v>443</v>
      </c>
      <c r="AU193" s="59"/>
      <c r="AV193" s="62">
        <v>13.409835907454299</v>
      </c>
      <c r="AW193" s="59">
        <f t="shared" si="1659"/>
        <v>342.596294378246</v>
      </c>
      <c r="AX193" s="59">
        <v>55.311191870201498</v>
      </c>
      <c r="AY193" s="59"/>
      <c r="AZ193" s="59">
        <f t="shared" si="1739"/>
        <v>3692.3450093945999</v>
      </c>
      <c r="BA193" s="59">
        <v>5906</v>
      </c>
      <c r="BB193" s="59">
        <f t="shared" si="1752"/>
        <v>5363.0115034160099</v>
      </c>
      <c r="BC193" s="59">
        <f t="shared" si="1753"/>
        <v>-1670.66649402141</v>
      </c>
      <c r="BD193" s="43">
        <f t="shared" si="1658"/>
        <v>-0.31151648527273601</v>
      </c>
    </row>
    <row r="194" ht="17" customHeight="1">
      <c r="A194" s="46">
        <v>129</v>
      </c>
      <c r="B194" s="82" t="s">
        <v>231</v>
      </c>
      <c r="C194" s="46" t="s">
        <v>90</v>
      </c>
      <c r="D194" s="46">
        <v>2018</v>
      </c>
      <c r="E194" s="46" t="s">
        <v>91</v>
      </c>
      <c r="F194" s="46" t="s">
        <v>146</v>
      </c>
      <c r="G194" s="73">
        <v>40066</v>
      </c>
      <c r="H194" s="59">
        <f t="shared" si="1729"/>
        <v>32052.799999999999</v>
      </c>
      <c r="I194" s="59">
        <f t="shared" si="1730"/>
        <v>0</v>
      </c>
      <c r="J194" s="59">
        <f t="shared" si="1731"/>
        <v>0</v>
      </c>
      <c r="K194" s="59">
        <f t="shared" si="1732"/>
        <v>32052.799999999999</v>
      </c>
      <c r="L194" s="59">
        <f t="shared" si="1733"/>
        <v>0</v>
      </c>
      <c r="M194" s="59">
        <f t="shared" si="1734"/>
        <v>0</v>
      </c>
      <c r="N194" s="59">
        <v>5388</v>
      </c>
      <c r="O194" s="59">
        <v>1570</v>
      </c>
      <c r="P194" s="59">
        <f t="shared" si="1745"/>
        <v>0</v>
      </c>
      <c r="Q194" s="59"/>
      <c r="R194" s="59"/>
      <c r="S194" s="59"/>
      <c r="T194" s="59"/>
      <c r="U194" s="59">
        <v>844</v>
      </c>
      <c r="V194" s="59">
        <f t="shared" si="1746"/>
        <v>2322.3581055576101</v>
      </c>
      <c r="W194" s="59">
        <v>11602.309999999999</v>
      </c>
      <c r="X194" s="62">
        <f t="shared" si="1747"/>
        <v>0.65454524916814905</v>
      </c>
      <c r="Y194" s="62">
        <f t="shared" si="1748"/>
        <v>2.9751699755689001</v>
      </c>
      <c r="Z194" s="62">
        <f>Y194*1</f>
        <v>2.9751699755689001</v>
      </c>
      <c r="AA194" s="59">
        <f t="shared" si="1749"/>
        <v>1084.0983358757801</v>
      </c>
      <c r="AB194" s="59">
        <v>604.39999999999998</v>
      </c>
      <c r="AC194" s="59">
        <f t="shared" si="1750"/>
        <v>42.462662717729501</v>
      </c>
      <c r="AD194" s="59"/>
      <c r="AE194" s="59"/>
      <c r="AF194" s="59">
        <v>21</v>
      </c>
      <c r="AG194" s="59">
        <f t="shared" si="1735"/>
        <v>21</v>
      </c>
      <c r="AH194" s="59">
        <f t="shared" si="1736"/>
        <v>239.77922675321</v>
      </c>
      <c r="AI194" s="59">
        <v>1</v>
      </c>
      <c r="AJ194" s="59">
        <f t="shared" si="1737"/>
        <v>1</v>
      </c>
      <c r="AK194" s="59">
        <f t="shared" si="1738"/>
        <v>462.147108861243</v>
      </c>
      <c r="AL194" s="338"/>
      <c r="AM194" s="59"/>
      <c r="AN194" s="59">
        <v>3</v>
      </c>
      <c r="AO194" s="59">
        <f t="shared" si="1751"/>
        <v>1800</v>
      </c>
      <c r="AP194" s="59"/>
      <c r="AQ194" s="62">
        <v>65.420000000000002</v>
      </c>
      <c r="AR194" s="62" t="s">
        <v>440</v>
      </c>
      <c r="AS194" s="59"/>
      <c r="AT194" s="59" t="s">
        <v>441</v>
      </c>
      <c r="AU194" s="59">
        <v>800</v>
      </c>
      <c r="AV194" s="62">
        <v>13.511033412189899</v>
      </c>
      <c r="AW194" s="59">
        <f t="shared" si="1659"/>
        <v>345.18170186287199</v>
      </c>
      <c r="AX194" s="59">
        <v>2448.1282755178399</v>
      </c>
      <c r="AY194" s="59"/>
      <c r="AZ194" s="59">
        <f t="shared" si="1739"/>
        <v>7096.0271416284404</v>
      </c>
      <c r="BA194" s="59">
        <v>15329</v>
      </c>
      <c r="BB194" s="59">
        <f t="shared" si="1752"/>
        <v>13919.675471700701</v>
      </c>
      <c r="BC194" s="59">
        <f t="shared" si="1753"/>
        <v>-6823.6483300722102</v>
      </c>
      <c r="BD194" s="43">
        <f t="shared" si="1658"/>
        <v>-0.490216050219346</v>
      </c>
    </row>
    <row r="196">
      <c r="B196" s="1"/>
    </row>
  </sheetData>
  <autoFilter ref="A17:BG194"/>
  <mergeCells count="43">
    <mergeCell ref="A2:AZ2"/>
    <mergeCell ref="G4:V4"/>
    <mergeCell ref="G5:M5"/>
    <mergeCell ref="O5:T5"/>
    <mergeCell ref="H6:M6"/>
    <mergeCell ref="P6:T6"/>
    <mergeCell ref="AB6:AC6"/>
    <mergeCell ref="AD6:AE6"/>
    <mergeCell ref="AF6:AM6"/>
    <mergeCell ref="AN6:AO6"/>
    <mergeCell ref="AV6:AW6"/>
    <mergeCell ref="AX6:AY6"/>
    <mergeCell ref="A4:A7"/>
    <mergeCell ref="B4:B7"/>
    <mergeCell ref="C4:C7"/>
    <mergeCell ref="D4:D7"/>
    <mergeCell ref="E4:E7"/>
    <mergeCell ref="F4:F7"/>
    <mergeCell ref="G6:G7"/>
    <mergeCell ref="N5:N7"/>
    <mergeCell ref="O6:O7"/>
    <mergeCell ref="U5:U7"/>
    <mergeCell ref="V5:V7"/>
    <mergeCell ref="W6:W7"/>
    <mergeCell ref="X6:X7"/>
    <mergeCell ref="Y6:Y7"/>
    <mergeCell ref="Z6:Z7"/>
    <mergeCell ref="AA6:AA7"/>
    <mergeCell ref="AQ6:AQ7"/>
    <mergeCell ref="AR6:AR7"/>
    <mergeCell ref="AS6:AS7"/>
    <mergeCell ref="AT6:AT7"/>
    <mergeCell ref="AU6:AU7"/>
    <mergeCell ref="AZ4:AZ7"/>
    <mergeCell ref="BA4:BA7"/>
    <mergeCell ref="BB4:BB7"/>
    <mergeCell ref="BC4:BC7"/>
    <mergeCell ref="BD4:BD7"/>
    <mergeCell ref="BF4:BF7"/>
    <mergeCell ref="BG4:BG7"/>
    <mergeCell ref="W4:AA5"/>
    <mergeCell ref="AB4:AP5"/>
    <mergeCell ref="AQ4:AY5"/>
  </mergeCells>
  <printOptions headings="0" gridLines="0"/>
  <pageMargins left="0.75138888888888899" right="0.75138888888888899" top="1" bottom="1" header="0.5" footer="0.5"/>
  <pageSetup paperSize="8" scale="100" fitToWidth="1" fitToHeight="1" pageOrder="overThenDown" orientation="landscape" usePrinterDefaults="1" blackAndWhite="0" draft="0" cellComments="none" useFirstPageNumber="0" errors="displayed" horizontalDpi="600" verticalDpi="600" copies="1"/>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5">
    <outlinePr applyStyles="0" summaryBelow="1" summaryRight="1" showOutlineSymbols="1"/>
    <pageSetUpPr autoPageBreaks="1" fitToPage="0"/>
  </sheetPr>
  <sheetViews>
    <sheetView zoomScale="100" workbookViewId="0">
      <selection activeCell="N6" activeCellId="0" sqref="N6"/>
    </sheetView>
  </sheetViews>
  <sheetFormatPr defaultColWidth="8" defaultRowHeight="13.5"/>
  <cols>
    <col customWidth="1" min="1" max="1" style="342" width="4.7583333333333302"/>
    <col customWidth="1" min="2" max="2" style="342" width="9.375"/>
    <col customWidth="1" min="3" max="3" style="342" width="8.5"/>
    <col customWidth="1" min="4" max="4" style="342" width="7.375"/>
    <col customWidth="1" hidden="1" min="5" max="5" style="342" width="9.4583333333333304"/>
    <col customWidth="1" hidden="1" min="6" max="6" style="342" width="10.375"/>
    <col customWidth="1" hidden="1" min="7" max="7" style="342" width="7.2583333333333302"/>
    <col customWidth="1" hidden="1" min="8" max="8" style="342" width="9.4583333333333304"/>
    <col customWidth="1" hidden="1" min="9" max="9" style="342" width="10.125"/>
    <col customWidth="1" hidden="1" min="10" max="10" style="342" width="7.625"/>
    <col customWidth="1" min="11" max="12" style="202" width="9.81666666666667"/>
    <col min="13" max="13" style="202" width="12.625"/>
    <col customWidth="1" min="14" max="14" style="202" width="11.258333333333301"/>
    <col customWidth="1" min="15" max="15" style="202" width="14.258333333333301"/>
    <col customWidth="1" min="16" max="16" style="202" width="8.6666666666666696"/>
    <col customWidth="1" min="17" max="17" style="202" width="9.875"/>
    <col customWidth="1" min="18" max="18" style="202" width="8.7583333333333293"/>
    <col customWidth="1" min="19" max="19" style="202" width="8"/>
    <col customWidth="1" min="20" max="20" style="202" width="7.6083333333333298"/>
    <col customWidth="1" min="21" max="21" style="202" width="7.93333333333333"/>
    <col customWidth="1" min="22" max="22" style="202" width="8.5"/>
    <col min="23" max="16359" style="202" width="8"/>
  </cols>
  <sheetData>
    <row r="1" s="202" customFormat="1">
      <c r="A1" s="342" t="s">
        <v>0</v>
      </c>
      <c r="B1" s="342"/>
      <c r="C1" s="342"/>
      <c r="D1" s="342"/>
      <c r="E1" s="342"/>
      <c r="F1" s="342"/>
      <c r="G1" s="342"/>
      <c r="H1" s="342"/>
      <c r="I1" s="342"/>
      <c r="J1" s="342"/>
      <c r="K1" s="343"/>
      <c r="L1" s="343"/>
    </row>
    <row r="2" s="202" customFormat="1" ht="39" customHeight="1">
      <c r="A2" s="344" t="s">
        <v>1545</v>
      </c>
      <c r="B2" s="344"/>
      <c r="C2" s="344"/>
      <c r="D2" s="344"/>
      <c r="E2" s="344"/>
      <c r="F2" s="344"/>
      <c r="G2" s="344"/>
      <c r="H2" s="344"/>
      <c r="I2" s="344"/>
      <c r="J2" s="344"/>
      <c r="K2" s="344"/>
      <c r="L2" s="344"/>
      <c r="M2" s="344"/>
      <c r="N2" s="345"/>
      <c r="O2" s="344"/>
      <c r="P2" s="344"/>
      <c r="R2" s="346"/>
      <c r="S2" s="346"/>
      <c r="T2" s="347"/>
      <c r="U2" s="347"/>
      <c r="V2" s="347"/>
    </row>
    <row r="3" s="348" customFormat="1" ht="27" customHeight="1">
      <c r="A3" s="349" t="s">
        <v>3</v>
      </c>
      <c r="B3" s="349" t="s">
        <v>1546</v>
      </c>
      <c r="C3" s="349" t="s">
        <v>1130</v>
      </c>
      <c r="D3" s="349" t="s">
        <v>7</v>
      </c>
      <c r="E3" s="350" t="s">
        <v>1547</v>
      </c>
      <c r="F3" s="351"/>
      <c r="G3" s="351"/>
      <c r="H3" s="352" t="s">
        <v>1548</v>
      </c>
      <c r="I3" s="352"/>
      <c r="J3" s="352"/>
      <c r="K3" s="352" t="s">
        <v>1549</v>
      </c>
      <c r="L3" s="352"/>
      <c r="M3" s="352"/>
      <c r="N3" s="352" t="s">
        <v>1550</v>
      </c>
      <c r="O3" s="353"/>
      <c r="P3" s="353"/>
      <c r="Q3" s="353"/>
      <c r="R3" s="354"/>
      <c r="S3" s="354"/>
      <c r="T3" s="355"/>
    </row>
    <row r="4" s="356" customFormat="1" ht="39" customHeight="1">
      <c r="A4" s="357"/>
      <c r="B4" s="357"/>
      <c r="C4" s="357"/>
      <c r="D4" s="357"/>
      <c r="E4" s="349" t="s">
        <v>1551</v>
      </c>
      <c r="F4" s="349" t="s">
        <v>1552</v>
      </c>
      <c r="G4" s="352" t="s">
        <v>1553</v>
      </c>
      <c r="H4" s="352" t="s">
        <v>1554</v>
      </c>
      <c r="I4" s="349" t="s">
        <v>1552</v>
      </c>
      <c r="J4" s="352" t="s">
        <v>1553</v>
      </c>
      <c r="K4" s="352" t="s">
        <v>1555</v>
      </c>
      <c r="L4" s="349" t="s">
        <v>1552</v>
      </c>
      <c r="M4" s="352" t="s">
        <v>1553</v>
      </c>
      <c r="N4" s="352"/>
      <c r="O4" s="353"/>
      <c r="P4" s="353"/>
      <c r="Q4" s="358"/>
    </row>
    <row r="5" s="356" customFormat="1" ht="43" customHeight="1">
      <c r="A5" s="359"/>
      <c r="B5" s="359"/>
      <c r="C5" s="359"/>
      <c r="D5" s="359"/>
      <c r="E5" s="359"/>
      <c r="F5" s="359"/>
      <c r="G5" s="352"/>
      <c r="H5" s="352"/>
      <c r="I5" s="359"/>
      <c r="J5" s="352"/>
      <c r="K5" s="352"/>
      <c r="L5" s="359"/>
      <c r="M5" s="352"/>
      <c r="N5" s="352"/>
      <c r="O5" s="353"/>
      <c r="P5" s="353"/>
      <c r="Q5" s="358"/>
    </row>
    <row r="6" s="356" customFormat="1" ht="30" customHeight="1">
      <c r="A6" s="352" t="s">
        <v>376</v>
      </c>
      <c r="B6" s="360"/>
      <c r="C6" s="352"/>
      <c r="D6" s="352"/>
      <c r="E6" s="361">
        <f t="shared" ref="E6:I6" si="1755">E7+E34+E23+E45+E52+E65+E72+E84+E94+E106+E121+E131+E136+E150+E157+E163</f>
        <v>2048342</v>
      </c>
      <c r="F6" s="361">
        <f t="shared" si="1755"/>
        <v>1085341.98</v>
      </c>
      <c r="G6" s="361">
        <f t="shared" ref="G6:N6" si="1756">SUM(G7:G167)</f>
        <v>71.820999999999998</v>
      </c>
      <c r="H6" s="361">
        <f t="shared" si="1755"/>
        <v>2363945</v>
      </c>
      <c r="I6" s="361">
        <f t="shared" si="1755"/>
        <v>1788293.71</v>
      </c>
      <c r="J6" s="361">
        <f t="shared" si="1756"/>
        <v>99.432000000000002</v>
      </c>
      <c r="K6" s="361">
        <f t="shared" si="1756"/>
        <v>2384617</v>
      </c>
      <c r="L6" s="361">
        <f t="shared" si="1756"/>
        <v>2172782.8300000001</v>
      </c>
      <c r="M6" s="361">
        <f t="shared" si="1756"/>
        <v>117.85299999999999</v>
      </c>
      <c r="N6" s="362">
        <f t="shared" si="1756"/>
        <v>1</v>
      </c>
      <c r="O6" s="363"/>
      <c r="P6" s="363"/>
      <c r="Q6" s="358"/>
    </row>
    <row r="7" s="364" customFormat="1" ht="18" customHeight="1">
      <c r="A7" s="365"/>
      <c r="B7" s="366" t="s">
        <v>451</v>
      </c>
      <c r="C7" s="366"/>
      <c r="D7" s="366"/>
      <c r="E7" s="367">
        <v>86222</v>
      </c>
      <c r="F7" s="366">
        <f>SUM(F8:F22)</f>
        <v>53970.040000000001</v>
      </c>
      <c r="G7" s="368"/>
      <c r="H7" s="367">
        <v>95055</v>
      </c>
      <c r="I7" s="366">
        <f>SUM(I8:I22)</f>
        <v>72060.229999999996</v>
      </c>
      <c r="J7" s="368"/>
      <c r="K7" s="366"/>
      <c r="L7" s="366"/>
      <c r="M7" s="369"/>
      <c r="N7" s="370"/>
      <c r="O7" s="371"/>
      <c r="P7" s="371"/>
    </row>
    <row r="8" s="364" customFormat="1" ht="18" customHeight="1">
      <c r="A8" s="372">
        <v>1</v>
      </c>
      <c r="B8" s="373" t="s">
        <v>74</v>
      </c>
      <c r="C8" s="374"/>
      <c r="D8" s="374"/>
      <c r="E8" s="375">
        <v>904.79999999999995</v>
      </c>
      <c r="F8" s="375"/>
      <c r="G8" s="376"/>
      <c r="H8" s="375">
        <v>71</v>
      </c>
      <c r="I8" s="375"/>
      <c r="J8" s="376"/>
      <c r="K8" s="375"/>
      <c r="L8" s="375"/>
      <c r="M8" s="376"/>
      <c r="N8" s="377"/>
    </row>
    <row r="9" s="364" customFormat="1" ht="18" customHeight="1">
      <c r="A9" s="378">
        <v>2</v>
      </c>
      <c r="B9" s="374" t="s">
        <v>57</v>
      </c>
      <c r="C9" s="235" t="s">
        <v>78</v>
      </c>
      <c r="D9" s="235"/>
      <c r="E9" s="375">
        <v>322</v>
      </c>
      <c r="F9" s="375">
        <v>322</v>
      </c>
      <c r="G9" s="376">
        <v>1</v>
      </c>
      <c r="H9" s="375">
        <v>322</v>
      </c>
      <c r="I9" s="375">
        <v>322</v>
      </c>
      <c r="J9" s="376">
        <v>1</v>
      </c>
      <c r="K9" s="375">
        <v>322</v>
      </c>
      <c r="L9" s="375">
        <v>322</v>
      </c>
      <c r="M9" s="379">
        <v>1</v>
      </c>
      <c r="N9" s="377">
        <f>L9/$L$6*0.8+M9/$M$6*0.2</f>
        <v>1.8155869880251501e-003</v>
      </c>
      <c r="O9" s="364"/>
    </row>
    <row r="10" s="364" customFormat="1" ht="18" customHeight="1">
      <c r="A10" s="378">
        <v>3</v>
      </c>
      <c r="B10" s="374" t="s">
        <v>59</v>
      </c>
      <c r="C10" s="235" t="s">
        <v>78</v>
      </c>
      <c r="D10" s="235"/>
      <c r="E10" s="375">
        <v>1268</v>
      </c>
      <c r="F10" s="375">
        <v>933.40999999999997</v>
      </c>
      <c r="G10" s="376">
        <v>0.73599999999999999</v>
      </c>
      <c r="H10" s="375">
        <v>1423</v>
      </c>
      <c r="I10" s="375">
        <v>1195.3800000000001</v>
      </c>
      <c r="J10" s="376">
        <v>0.83999999999999997</v>
      </c>
      <c r="K10" s="375">
        <v>1423</v>
      </c>
      <c r="L10" s="375">
        <v>1421.9000000000001</v>
      </c>
      <c r="M10" s="379">
        <v>0.999</v>
      </c>
      <c r="N10" s="377">
        <f t="shared" ref="N10:N73" si="1757">L10/$L$6*0.8+M10/$M$6*0.2</f>
        <v>2.21886370379617e-003</v>
      </c>
      <c r="O10" s="364"/>
    </row>
    <row r="11" s="364" customFormat="1" ht="18" customHeight="1">
      <c r="A11" s="378">
        <v>4</v>
      </c>
      <c r="B11" s="374" t="s">
        <v>61</v>
      </c>
      <c r="C11" s="235" t="s">
        <v>78</v>
      </c>
      <c r="D11" s="235"/>
      <c r="E11" s="375">
        <v>122</v>
      </c>
      <c r="F11" s="375">
        <v>122</v>
      </c>
      <c r="G11" s="376">
        <v>1</v>
      </c>
      <c r="H11" s="375">
        <v>122</v>
      </c>
      <c r="I11" s="375">
        <v>122</v>
      </c>
      <c r="J11" s="376">
        <v>1</v>
      </c>
      <c r="K11" s="375">
        <v>122</v>
      </c>
      <c r="L11" s="375">
        <v>122</v>
      </c>
      <c r="M11" s="379">
        <v>1</v>
      </c>
      <c r="N11" s="377">
        <f t="shared" si="1757"/>
        <v>1.7419487036136399e-003</v>
      </c>
      <c r="O11" s="364"/>
    </row>
    <row r="12" s="202" customFormat="1" ht="18" customHeight="1">
      <c r="A12" s="378">
        <v>5</v>
      </c>
      <c r="B12" s="380" t="s">
        <v>63</v>
      </c>
      <c r="C12" s="235" t="s">
        <v>78</v>
      </c>
      <c r="D12" s="235"/>
      <c r="E12" s="381">
        <v>2064.5</v>
      </c>
      <c r="F12" s="381">
        <v>1534.1700000000001</v>
      </c>
      <c r="G12" s="382">
        <v>0.74299999999999999</v>
      </c>
      <c r="H12" s="381">
        <v>2064.5</v>
      </c>
      <c r="I12" s="375">
        <v>1713.05</v>
      </c>
      <c r="J12" s="382">
        <v>0.82999999999999996</v>
      </c>
      <c r="K12" s="381">
        <v>2064.5</v>
      </c>
      <c r="L12" s="381">
        <v>1764.5</v>
      </c>
      <c r="M12" s="383">
        <v>0.85499999999999998</v>
      </c>
      <c r="N12" s="377">
        <f t="shared" si="1757"/>
        <v>2.1006338585754401e-003</v>
      </c>
      <c r="O12" s="364"/>
      <c r="P12" s="364"/>
      <c r="Q12" s="364"/>
      <c r="R12" s="364"/>
      <c r="S12" s="364"/>
      <c r="T12" s="364"/>
    </row>
    <row r="13" s="202" customFormat="1" ht="18" customHeight="1">
      <c r="A13" s="378">
        <v>6</v>
      </c>
      <c r="B13" s="380" t="s">
        <v>65</v>
      </c>
      <c r="C13" s="235" t="s">
        <v>93</v>
      </c>
      <c r="D13" s="235" t="s">
        <v>1556</v>
      </c>
      <c r="E13" s="381">
        <v>30644.200000000001</v>
      </c>
      <c r="F13" s="381">
        <v>20223.75</v>
      </c>
      <c r="G13" s="382">
        <v>0.66000000000000003</v>
      </c>
      <c r="H13" s="381">
        <v>35584</v>
      </c>
      <c r="I13" s="375">
        <v>28136.130000000001</v>
      </c>
      <c r="J13" s="382">
        <v>0.79100000000000004</v>
      </c>
      <c r="K13" s="381">
        <v>35584</v>
      </c>
      <c r="L13" s="381">
        <v>33475.059999999998</v>
      </c>
      <c r="M13" s="383">
        <v>0.94099999999999995</v>
      </c>
      <c r="N13" s="377">
        <f t="shared" si="1757"/>
        <v>1.39221345633283e-002</v>
      </c>
      <c r="O13" s="364"/>
      <c r="P13" s="364"/>
      <c r="Q13" s="364"/>
      <c r="R13" s="364"/>
      <c r="S13" s="364"/>
      <c r="T13" s="364"/>
    </row>
    <row r="14" s="202" customFormat="1" ht="18" customHeight="1">
      <c r="A14" s="378">
        <v>7</v>
      </c>
      <c r="B14" s="380" t="s">
        <v>67</v>
      </c>
      <c r="C14" s="235" t="s">
        <v>78</v>
      </c>
      <c r="D14" s="235"/>
      <c r="E14" s="381">
        <v>112</v>
      </c>
      <c r="F14" s="381">
        <v>112</v>
      </c>
      <c r="G14" s="382">
        <v>1</v>
      </c>
      <c r="H14" s="381">
        <v>112</v>
      </c>
      <c r="I14" s="375">
        <v>112</v>
      </c>
      <c r="J14" s="382">
        <v>1</v>
      </c>
      <c r="K14" s="381">
        <v>112</v>
      </c>
      <c r="L14" s="381">
        <v>112</v>
      </c>
      <c r="M14" s="383">
        <v>1</v>
      </c>
      <c r="N14" s="377">
        <f t="shared" si="1757"/>
        <v>1.7382667893930601e-003</v>
      </c>
      <c r="O14" s="364"/>
      <c r="P14" s="364"/>
      <c r="Q14" s="364"/>
      <c r="R14" s="364"/>
      <c r="S14" s="364"/>
      <c r="T14" s="364"/>
    </row>
    <row r="15" s="202" customFormat="1" ht="18" customHeight="1">
      <c r="A15" s="378">
        <v>8</v>
      </c>
      <c r="B15" s="380" t="s">
        <v>69</v>
      </c>
      <c r="C15" s="235" t="s">
        <v>78</v>
      </c>
      <c r="D15" s="235"/>
      <c r="E15" s="384">
        <v>6429</v>
      </c>
      <c r="F15" s="385">
        <v>5801.8999999999996</v>
      </c>
      <c r="G15" s="382">
        <v>0.90200000000000002</v>
      </c>
      <c r="H15" s="384">
        <v>6609</v>
      </c>
      <c r="I15" s="375">
        <v>6142.3999999999996</v>
      </c>
      <c r="J15" s="382">
        <v>0.92900000000000005</v>
      </c>
      <c r="K15" s="384">
        <v>6609</v>
      </c>
      <c r="L15" s="385">
        <v>6272.0600000000004</v>
      </c>
      <c r="M15" s="386">
        <v>0.94899999999999995</v>
      </c>
      <c r="N15" s="377">
        <f t="shared" si="1757"/>
        <v>3.9197995438968397e-003</v>
      </c>
      <c r="O15" s="364"/>
      <c r="P15" s="364"/>
      <c r="Q15" s="364"/>
      <c r="R15" s="364"/>
      <c r="S15" s="364"/>
      <c r="T15" s="364"/>
    </row>
    <row r="16" s="202" customFormat="1" ht="18" customHeight="1">
      <c r="A16" s="378">
        <v>9</v>
      </c>
      <c r="B16" s="380" t="s">
        <v>71</v>
      </c>
      <c r="C16" s="235" t="s">
        <v>78</v>
      </c>
      <c r="D16" s="235"/>
      <c r="E16" s="384">
        <v>2276</v>
      </c>
      <c r="F16" s="381">
        <v>1482.23</v>
      </c>
      <c r="G16" s="382">
        <v>0.65100000000000002</v>
      </c>
      <c r="H16" s="384">
        <v>2690</v>
      </c>
      <c r="I16" s="375">
        <v>2322.4000000000001</v>
      </c>
      <c r="J16" s="382">
        <v>0.86299999999999999</v>
      </c>
      <c r="K16" s="384">
        <v>2690</v>
      </c>
      <c r="L16" s="381">
        <v>2639.8000000000002</v>
      </c>
      <c r="M16" s="383">
        <v>0.98099999999999998</v>
      </c>
      <c r="N16" s="377">
        <f t="shared" si="1757"/>
        <v>2.6367375084178899e-003</v>
      </c>
      <c r="O16" s="364"/>
      <c r="P16" s="364"/>
      <c r="Q16" s="364"/>
      <c r="R16" s="364"/>
      <c r="S16" s="364"/>
      <c r="T16" s="364"/>
    </row>
    <row r="17" s="202" customFormat="1" ht="18" customHeight="1">
      <c r="A17" s="378">
        <v>10</v>
      </c>
      <c r="B17" s="380" t="s">
        <v>73</v>
      </c>
      <c r="C17" s="235" t="s">
        <v>78</v>
      </c>
      <c r="D17" s="235"/>
      <c r="E17" s="381">
        <v>1796.5</v>
      </c>
      <c r="F17" s="381">
        <v>875.76999999999998</v>
      </c>
      <c r="G17" s="382">
        <v>0.48699999999999999</v>
      </c>
      <c r="H17" s="381">
        <v>2369.5</v>
      </c>
      <c r="I17" s="375">
        <v>1638.1700000000001</v>
      </c>
      <c r="J17" s="382">
        <v>0.69099999999999995</v>
      </c>
      <c r="K17" s="381">
        <v>2569.5</v>
      </c>
      <c r="L17" s="381">
        <v>2223.4699999999998</v>
      </c>
      <c r="M17" s="383">
        <v>0.86499999999999999</v>
      </c>
      <c r="N17" s="377">
        <f t="shared" si="1757"/>
        <v>2.2865929690584299e-003</v>
      </c>
      <c r="O17" s="364"/>
      <c r="P17" s="364"/>
      <c r="Q17" s="364"/>
      <c r="R17" s="364"/>
      <c r="S17" s="364"/>
      <c r="T17" s="364"/>
    </row>
    <row r="18" s="202" customFormat="1" ht="18" customHeight="1">
      <c r="A18" s="378">
        <v>11</v>
      </c>
      <c r="B18" s="380" t="s">
        <v>75</v>
      </c>
      <c r="C18" s="235" t="s">
        <v>78</v>
      </c>
      <c r="D18" s="235"/>
      <c r="E18" s="381">
        <v>1966</v>
      </c>
      <c r="F18" s="381">
        <v>1381.8699999999999</v>
      </c>
      <c r="G18" s="382">
        <v>0.70299999999999996</v>
      </c>
      <c r="H18" s="381">
        <v>2389</v>
      </c>
      <c r="I18" s="375">
        <v>1811.9400000000001</v>
      </c>
      <c r="J18" s="382">
        <v>0.75800000000000001</v>
      </c>
      <c r="K18" s="381">
        <v>2589</v>
      </c>
      <c r="L18" s="381">
        <v>1939.77</v>
      </c>
      <c r="M18" s="383">
        <v>0.749</v>
      </c>
      <c r="N18" s="377">
        <f t="shared" si="1757"/>
        <v>1.9852816580064698e-003</v>
      </c>
      <c r="O18" s="364"/>
      <c r="P18" s="364"/>
      <c r="Q18" s="364"/>
      <c r="R18" s="364"/>
      <c r="S18" s="364"/>
      <c r="T18" s="364"/>
    </row>
    <row r="19" s="202" customFormat="1" ht="18" customHeight="1">
      <c r="A19" s="378">
        <v>12</v>
      </c>
      <c r="B19" s="380" t="s">
        <v>77</v>
      </c>
      <c r="C19" s="235" t="s">
        <v>78</v>
      </c>
      <c r="D19" s="235"/>
      <c r="E19" s="384">
        <v>2019</v>
      </c>
      <c r="F19" s="381">
        <v>1232.73</v>
      </c>
      <c r="G19" s="382">
        <v>0.61099999999999999</v>
      </c>
      <c r="H19" s="384">
        <v>2362</v>
      </c>
      <c r="I19" s="375">
        <v>2140.73</v>
      </c>
      <c r="J19" s="382">
        <v>0.90600000000000003</v>
      </c>
      <c r="K19" s="384">
        <v>2362</v>
      </c>
      <c r="L19" s="381">
        <v>2350.73</v>
      </c>
      <c r="M19" s="383">
        <v>0.995</v>
      </c>
      <c r="N19" s="377">
        <f t="shared" si="1757"/>
        <v>2.5540628249454199e-003</v>
      </c>
      <c r="O19" s="364"/>
      <c r="P19" s="364"/>
      <c r="Q19" s="364"/>
      <c r="R19" s="364"/>
      <c r="S19" s="364"/>
      <c r="T19" s="364"/>
    </row>
    <row r="20" s="202" customFormat="1" ht="18" customHeight="1">
      <c r="A20" s="378">
        <v>13</v>
      </c>
      <c r="B20" s="380" t="s">
        <v>79</v>
      </c>
      <c r="C20" s="235" t="s">
        <v>90</v>
      </c>
      <c r="D20" s="235" t="s">
        <v>91</v>
      </c>
      <c r="E20" s="381">
        <v>17348</v>
      </c>
      <c r="F20" s="381">
        <v>9937.2199999999993</v>
      </c>
      <c r="G20" s="382">
        <v>0.57299999999999995</v>
      </c>
      <c r="H20" s="381">
        <v>18394</v>
      </c>
      <c r="I20" s="375">
        <v>11986.790000000001</v>
      </c>
      <c r="J20" s="382">
        <v>0.65200000000000002</v>
      </c>
      <c r="K20" s="381">
        <v>18236</v>
      </c>
      <c r="L20" s="381">
        <v>16430.200000000001</v>
      </c>
      <c r="M20" s="383">
        <v>0.90100000000000002</v>
      </c>
      <c r="N20" s="377">
        <f t="shared" si="1757"/>
        <v>7.5784821471509799e-003</v>
      </c>
      <c r="O20" s="364"/>
      <c r="P20" s="364"/>
      <c r="Q20" s="364"/>
      <c r="R20" s="364"/>
      <c r="S20" s="364"/>
      <c r="T20" s="364"/>
    </row>
    <row r="21" s="202" customFormat="1" ht="18" customHeight="1">
      <c r="A21" s="378">
        <v>14</v>
      </c>
      <c r="B21" s="380" t="s">
        <v>80</v>
      </c>
      <c r="C21" s="235" t="s">
        <v>90</v>
      </c>
      <c r="D21" s="235" t="s">
        <v>91</v>
      </c>
      <c r="E21" s="381">
        <v>18758</v>
      </c>
      <c r="F21" s="387">
        <v>9818.9899999999998</v>
      </c>
      <c r="G21" s="382">
        <v>0.52300000000000002</v>
      </c>
      <c r="H21" s="381">
        <v>20351</v>
      </c>
      <c r="I21" s="375">
        <v>14225.24</v>
      </c>
      <c r="J21" s="382">
        <v>0.69899999999999995</v>
      </c>
      <c r="K21" s="381">
        <v>20351</v>
      </c>
      <c r="L21" s="387">
        <v>18293.860000000001</v>
      </c>
      <c r="M21" s="388">
        <v>0.89900000000000002</v>
      </c>
      <c r="N21" s="377">
        <f t="shared" si="1757"/>
        <v>8.2612717140825697e-003</v>
      </c>
      <c r="O21" s="364"/>
      <c r="P21" s="364"/>
      <c r="Q21" s="364"/>
      <c r="R21" s="364"/>
      <c r="S21" s="364"/>
      <c r="T21" s="364"/>
    </row>
    <row r="22" s="202" customFormat="1" ht="18" customHeight="1">
      <c r="A22" s="378">
        <v>15</v>
      </c>
      <c r="B22" s="380" t="s">
        <v>81</v>
      </c>
      <c r="C22" s="235" t="s">
        <v>78</v>
      </c>
      <c r="D22" s="235"/>
      <c r="E22" s="381">
        <v>192</v>
      </c>
      <c r="F22" s="389">
        <v>192</v>
      </c>
      <c r="G22" s="382">
        <v>1</v>
      </c>
      <c r="H22" s="381">
        <v>192</v>
      </c>
      <c r="I22" s="375">
        <v>192</v>
      </c>
      <c r="J22" s="382">
        <v>1</v>
      </c>
      <c r="K22" s="381">
        <v>192</v>
      </c>
      <c r="L22" s="389">
        <v>192</v>
      </c>
      <c r="M22" s="390">
        <v>1</v>
      </c>
      <c r="N22" s="377">
        <f t="shared" si="1757"/>
        <v>1.7677221031576699e-003</v>
      </c>
      <c r="O22" s="364"/>
      <c r="P22" s="364"/>
      <c r="Q22" s="364"/>
      <c r="R22" s="364"/>
      <c r="S22" s="364"/>
      <c r="T22" s="364"/>
    </row>
    <row r="23" s="202" customFormat="1" ht="18" customHeight="1">
      <c r="A23" s="365"/>
      <c r="B23" s="391" t="s">
        <v>455</v>
      </c>
      <c r="C23" s="366"/>
      <c r="D23" s="366"/>
      <c r="E23" s="392">
        <v>188632</v>
      </c>
      <c r="F23" s="366">
        <f>SUM(F24:F33)</f>
        <v>102800.67</v>
      </c>
      <c r="G23" s="393"/>
      <c r="H23" s="392">
        <v>207874</v>
      </c>
      <c r="I23" s="366">
        <f>SUM(I24:I33)</f>
        <v>169001.20999999999</v>
      </c>
      <c r="J23" s="393"/>
      <c r="K23" s="366"/>
      <c r="L23" s="366"/>
      <c r="M23" s="366"/>
      <c r="N23" s="370"/>
      <c r="O23" s="364"/>
      <c r="P23" s="371"/>
      <c r="Q23" s="364"/>
      <c r="R23" s="364"/>
      <c r="S23" s="364"/>
    </row>
    <row r="24" s="202" customFormat="1" ht="18" customHeight="1">
      <c r="A24" s="372">
        <v>16</v>
      </c>
      <c r="B24" s="394" t="s">
        <v>100</v>
      </c>
      <c r="C24" s="374"/>
      <c r="D24" s="374"/>
      <c r="E24" s="381">
        <v>22</v>
      </c>
      <c r="F24" s="389"/>
      <c r="G24" s="382"/>
      <c r="H24" s="381">
        <v>22</v>
      </c>
      <c r="I24" s="375"/>
      <c r="J24" s="382"/>
      <c r="K24" s="381"/>
      <c r="L24" s="389"/>
      <c r="M24" s="395"/>
      <c r="N24" s="377">
        <f t="shared" si="1757"/>
        <v>0</v>
      </c>
      <c r="O24" s="364"/>
      <c r="P24" s="364"/>
      <c r="Q24" s="364"/>
      <c r="R24" s="364"/>
      <c r="S24" s="364"/>
      <c r="T24" s="364"/>
    </row>
    <row r="25" s="202" customFormat="1" ht="18" customHeight="1">
      <c r="A25" s="378">
        <v>17</v>
      </c>
      <c r="B25" s="380" t="s">
        <v>101</v>
      </c>
      <c r="C25" s="235" t="s">
        <v>78</v>
      </c>
      <c r="D25" s="235"/>
      <c r="E25" s="381">
        <v>3120.5</v>
      </c>
      <c r="F25" s="389">
        <v>1868.3499999999999</v>
      </c>
      <c r="G25" s="382">
        <v>0.59899999999999998</v>
      </c>
      <c r="H25" s="381">
        <v>4194.5</v>
      </c>
      <c r="I25" s="375">
        <v>3386.4499999999998</v>
      </c>
      <c r="J25" s="382">
        <v>0.80700000000000005</v>
      </c>
      <c r="K25" s="381">
        <v>4294.5</v>
      </c>
      <c r="L25" s="389">
        <v>4090.5599999999999</v>
      </c>
      <c r="M25" s="390">
        <v>0.95299999999999996</v>
      </c>
      <c r="N25" s="377">
        <f t="shared" si="1757"/>
        <v>3.1233780740787202e-003</v>
      </c>
      <c r="O25" s="364"/>
      <c r="P25" s="364"/>
      <c r="Q25" s="364"/>
      <c r="R25" s="364"/>
      <c r="S25" s="364"/>
      <c r="T25" s="364"/>
    </row>
    <row r="26" s="202" customFormat="1" ht="18" customHeight="1">
      <c r="A26" s="378">
        <v>18</v>
      </c>
      <c r="B26" s="380" t="s">
        <v>108</v>
      </c>
      <c r="C26" s="235" t="s">
        <v>78</v>
      </c>
      <c r="D26" s="235"/>
      <c r="E26" s="381">
        <v>3456.1199999999999</v>
      </c>
      <c r="F26" s="389">
        <v>2045.54</v>
      </c>
      <c r="G26" s="382">
        <v>0.59199999999999997</v>
      </c>
      <c r="H26" s="381">
        <v>4070.1199999999999</v>
      </c>
      <c r="I26" s="375">
        <v>3451.3600000000001</v>
      </c>
      <c r="J26" s="382">
        <v>0.84799999999999998</v>
      </c>
      <c r="K26" s="381">
        <v>4070.1199999999999</v>
      </c>
      <c r="L26" s="389">
        <v>4070.1199999999999</v>
      </c>
      <c r="M26" s="390">
        <v>1</v>
      </c>
      <c r="N26" s="377">
        <f t="shared" si="1757"/>
        <v>3.1956126208676199e-003</v>
      </c>
      <c r="O26" s="364"/>
      <c r="P26" s="364"/>
      <c r="Q26" s="364"/>
      <c r="R26" s="364"/>
      <c r="S26" s="364"/>
      <c r="T26" s="364"/>
    </row>
    <row r="27" s="202" customFormat="1" ht="18" customHeight="1">
      <c r="A27" s="378">
        <v>19</v>
      </c>
      <c r="B27" s="380" t="s">
        <v>102</v>
      </c>
      <c r="C27" s="235" t="s">
        <v>78</v>
      </c>
      <c r="D27" s="235"/>
      <c r="E27" s="381">
        <v>2880</v>
      </c>
      <c r="F27" s="389">
        <v>1332.3</v>
      </c>
      <c r="G27" s="382">
        <v>0.46300000000000002</v>
      </c>
      <c r="H27" s="381">
        <v>3419</v>
      </c>
      <c r="I27" s="375">
        <v>2747.7600000000002</v>
      </c>
      <c r="J27" s="382">
        <v>0.80400000000000005</v>
      </c>
      <c r="K27" s="381">
        <v>3419</v>
      </c>
      <c r="L27" s="389">
        <v>3370</v>
      </c>
      <c r="M27" s="390">
        <v>0.98599999999999999</v>
      </c>
      <c r="N27" s="377">
        <f t="shared" si="1757"/>
        <v>2.9140760315549499e-003</v>
      </c>
      <c r="O27" s="364"/>
      <c r="P27" s="364"/>
      <c r="Q27" s="364"/>
      <c r="R27" s="364"/>
      <c r="S27" s="364"/>
      <c r="T27" s="364"/>
    </row>
    <row r="28" s="202" customFormat="1" ht="18" customHeight="1">
      <c r="A28" s="378">
        <v>20</v>
      </c>
      <c r="B28" s="380" t="s">
        <v>103</v>
      </c>
      <c r="C28" s="235" t="s">
        <v>78</v>
      </c>
      <c r="D28" s="235"/>
      <c r="E28" s="381">
        <v>5023</v>
      </c>
      <c r="F28" s="389">
        <v>2833.3200000000002</v>
      </c>
      <c r="G28" s="382">
        <v>0.56399999999999995</v>
      </c>
      <c r="H28" s="381">
        <v>5843</v>
      </c>
      <c r="I28" s="375">
        <v>4491.9799999999996</v>
      </c>
      <c r="J28" s="382">
        <v>0.76900000000000002</v>
      </c>
      <c r="K28" s="381">
        <v>5843</v>
      </c>
      <c r="L28" s="389">
        <v>5661.9399999999996</v>
      </c>
      <c r="M28" s="390">
        <v>0.96899999999999997</v>
      </c>
      <c r="N28" s="377">
        <f t="shared" si="1757"/>
        <v>3.7290991804735199e-003</v>
      </c>
      <c r="O28" s="364"/>
      <c r="P28" s="364"/>
      <c r="Q28" s="364"/>
      <c r="R28" s="364"/>
      <c r="S28" s="364"/>
      <c r="T28" s="364"/>
    </row>
    <row r="29" s="202" customFormat="1" ht="18" customHeight="1">
      <c r="A29" s="378">
        <v>21</v>
      </c>
      <c r="B29" s="380" t="s">
        <v>104</v>
      </c>
      <c r="C29" s="235" t="s">
        <v>90</v>
      </c>
      <c r="D29" s="235"/>
      <c r="E29" s="381">
        <v>8780.3700000000008</v>
      </c>
      <c r="F29" s="389">
        <v>4897.2600000000002</v>
      </c>
      <c r="G29" s="382">
        <v>0.55800000000000005</v>
      </c>
      <c r="H29" s="381">
        <v>9725.3700000000008</v>
      </c>
      <c r="I29" s="375">
        <v>6936.9099999999999</v>
      </c>
      <c r="J29" s="382">
        <v>0.71299999999999997</v>
      </c>
      <c r="K29" s="381">
        <v>9725.3700000000008</v>
      </c>
      <c r="L29" s="389">
        <v>9395.5900000000001</v>
      </c>
      <c r="M29" s="390">
        <v>0.96599999999999997</v>
      </c>
      <c r="N29" s="377">
        <f t="shared" si="1757"/>
        <v>5.0987059953884499e-003</v>
      </c>
      <c r="O29" s="364"/>
      <c r="P29" s="364"/>
      <c r="Q29" s="364"/>
      <c r="R29" s="364"/>
      <c r="S29" s="364"/>
      <c r="T29" s="364"/>
    </row>
    <row r="30" s="202" customFormat="1" ht="18" customHeight="1">
      <c r="A30" s="378">
        <v>22</v>
      </c>
      <c r="B30" s="380" t="s">
        <v>105</v>
      </c>
      <c r="C30" s="235" t="s">
        <v>90</v>
      </c>
      <c r="D30" s="235"/>
      <c r="E30" s="381">
        <v>4886.9499999999998</v>
      </c>
      <c r="F30" s="389">
        <v>2297.9499999999998</v>
      </c>
      <c r="G30" s="382">
        <v>0.46999999999999997</v>
      </c>
      <c r="H30" s="381">
        <v>5681.9499999999998</v>
      </c>
      <c r="I30" s="375">
        <v>3806.9899999999998</v>
      </c>
      <c r="J30" s="382">
        <v>0.67000000000000004</v>
      </c>
      <c r="K30" s="381">
        <v>5881.9499999999998</v>
      </c>
      <c r="L30" s="389">
        <v>5149.1999999999998</v>
      </c>
      <c r="M30" s="390">
        <v>0.875</v>
      </c>
      <c r="N30" s="377">
        <f t="shared" si="1757"/>
        <v>3.3807919518161898e-003</v>
      </c>
      <c r="O30" s="364"/>
      <c r="P30" s="364"/>
      <c r="Q30" s="364"/>
      <c r="R30" s="364"/>
      <c r="S30" s="364"/>
      <c r="T30" s="364"/>
    </row>
    <row r="31" s="202" customFormat="1" ht="18" customHeight="1">
      <c r="A31" s="378">
        <v>23</v>
      </c>
      <c r="B31" s="380" t="s">
        <v>106</v>
      </c>
      <c r="C31" s="235" t="s">
        <v>90</v>
      </c>
      <c r="D31" s="235" t="s">
        <v>91</v>
      </c>
      <c r="E31" s="384">
        <v>14140.610000000001</v>
      </c>
      <c r="F31" s="389">
        <v>8606.8400000000001</v>
      </c>
      <c r="G31" s="382">
        <v>0.60899999999999999</v>
      </c>
      <c r="H31" s="384">
        <v>15555.610000000001</v>
      </c>
      <c r="I31" s="375">
        <v>13433.040000000001</v>
      </c>
      <c r="J31" s="382">
        <v>0.86399999999999999</v>
      </c>
      <c r="K31" s="384">
        <v>15964.610000000001</v>
      </c>
      <c r="L31" s="389">
        <v>15584.1</v>
      </c>
      <c r="M31" s="390">
        <v>0.97599999999999998</v>
      </c>
      <c r="N31" s="377">
        <f t="shared" si="1757"/>
        <v>7.39423258620725e-003</v>
      </c>
      <c r="O31" s="364"/>
      <c r="P31" s="364"/>
      <c r="Q31" s="364"/>
      <c r="R31" s="364"/>
      <c r="S31" s="364"/>
      <c r="T31" s="364"/>
    </row>
    <row r="32" s="202" customFormat="1" ht="18" customHeight="1">
      <c r="A32" s="378">
        <v>24</v>
      </c>
      <c r="B32" s="380" t="s">
        <v>107</v>
      </c>
      <c r="C32" s="235" t="s">
        <v>93</v>
      </c>
      <c r="D32" s="235" t="s">
        <v>1556</v>
      </c>
      <c r="E32" s="384">
        <v>104729.45</v>
      </c>
      <c r="F32" s="389">
        <v>60136.459999999999</v>
      </c>
      <c r="G32" s="382">
        <v>0.57399999999999995</v>
      </c>
      <c r="H32" s="384">
        <v>113218.45</v>
      </c>
      <c r="I32" s="375">
        <v>95370.179999999993</v>
      </c>
      <c r="J32" s="382">
        <v>0.84199999999999997</v>
      </c>
      <c r="K32" s="384">
        <v>114134.45</v>
      </c>
      <c r="L32" s="389">
        <v>111241.24000000001</v>
      </c>
      <c r="M32" s="390">
        <v>0.97499999999999998</v>
      </c>
      <c r="N32" s="377">
        <f t="shared" si="1757"/>
        <v>4.2612673963418397e-002</v>
      </c>
      <c r="O32" s="364"/>
      <c r="P32" s="364"/>
      <c r="Q32" s="364"/>
      <c r="R32" s="364"/>
      <c r="S32" s="364"/>
      <c r="T32" s="364"/>
    </row>
    <row r="33" s="202" customFormat="1" ht="18" customHeight="1">
      <c r="A33" s="378">
        <v>25</v>
      </c>
      <c r="B33" s="380" t="s">
        <v>109</v>
      </c>
      <c r="C33" s="235" t="s">
        <v>93</v>
      </c>
      <c r="D33" s="235" t="s">
        <v>1556</v>
      </c>
      <c r="E33" s="381">
        <v>41593</v>
      </c>
      <c r="F33" s="389">
        <v>18782.650000000001</v>
      </c>
      <c r="G33" s="382">
        <v>0.45200000000000001</v>
      </c>
      <c r="H33" s="381">
        <v>46144</v>
      </c>
      <c r="I33" s="375">
        <v>35376.540000000001</v>
      </c>
      <c r="J33" s="382">
        <v>0.76700000000000002</v>
      </c>
      <c r="K33" s="381">
        <v>46144</v>
      </c>
      <c r="L33" s="389">
        <v>45381.379999999997</v>
      </c>
      <c r="M33" s="390">
        <v>0.98299999999999998</v>
      </c>
      <c r="N33" s="377">
        <f t="shared" si="1757"/>
        <v>1.8377214688306099e-002</v>
      </c>
      <c r="O33" s="364"/>
      <c r="P33" s="364"/>
      <c r="Q33" s="364"/>
      <c r="R33" s="364"/>
      <c r="S33" s="364"/>
      <c r="T33" s="364"/>
    </row>
    <row r="34" s="202" customFormat="1" ht="18" customHeight="1">
      <c r="A34" s="365"/>
      <c r="B34" s="391" t="s">
        <v>456</v>
      </c>
      <c r="C34" s="366"/>
      <c r="D34" s="366"/>
      <c r="E34" s="392">
        <v>25942.5</v>
      </c>
      <c r="F34" s="366">
        <f>SUM(F35:F44)</f>
        <v>13501.879999999999</v>
      </c>
      <c r="G34" s="393"/>
      <c r="H34" s="392">
        <v>36473.5</v>
      </c>
      <c r="I34" s="366">
        <f>SUM(I35:I44)</f>
        <v>28381.5</v>
      </c>
      <c r="J34" s="393"/>
      <c r="K34" s="366"/>
      <c r="L34" s="366"/>
      <c r="M34" s="366"/>
      <c r="N34" s="370"/>
      <c r="O34" s="364"/>
      <c r="P34" s="371"/>
      <c r="Q34" s="364"/>
      <c r="R34" s="364"/>
      <c r="S34" s="364"/>
    </row>
    <row r="35" s="202" customFormat="1" ht="18" customHeight="1">
      <c r="A35" s="372">
        <v>26</v>
      </c>
      <c r="B35" s="394" t="s">
        <v>111</v>
      </c>
      <c r="C35" s="374"/>
      <c r="D35" s="374"/>
      <c r="E35" s="381">
        <v>67</v>
      </c>
      <c r="F35" s="389"/>
      <c r="G35" s="382"/>
      <c r="H35" s="381">
        <v>67</v>
      </c>
      <c r="I35" s="375"/>
      <c r="J35" s="382"/>
      <c r="K35" s="381"/>
      <c r="L35" s="389"/>
      <c r="M35" s="395"/>
      <c r="N35" s="377">
        <f t="shared" si="1757"/>
        <v>0</v>
      </c>
      <c r="O35" s="364"/>
      <c r="P35" s="364"/>
      <c r="Q35" s="364"/>
      <c r="R35" s="364"/>
      <c r="S35" s="364"/>
      <c r="T35" s="364"/>
    </row>
    <row r="36" s="202" customFormat="1" ht="19" customHeight="1">
      <c r="A36" s="378">
        <v>27</v>
      </c>
      <c r="B36" s="380" t="s">
        <v>112</v>
      </c>
      <c r="C36" s="235" t="s">
        <v>78</v>
      </c>
      <c r="D36" s="235"/>
      <c r="E36" s="381">
        <v>2139</v>
      </c>
      <c r="F36" s="389">
        <v>1107.4300000000001</v>
      </c>
      <c r="G36" s="382">
        <v>0.51800000000000002</v>
      </c>
      <c r="H36" s="381">
        <v>3887</v>
      </c>
      <c r="I36" s="375">
        <v>3137.3400000000001</v>
      </c>
      <c r="J36" s="382">
        <v>0.80700000000000005</v>
      </c>
      <c r="K36" s="381">
        <v>4087</v>
      </c>
      <c r="L36" s="389">
        <v>3784.8299999999999</v>
      </c>
      <c r="M36" s="390">
        <v>0.92600000000000005</v>
      </c>
      <c r="N36" s="377">
        <f t="shared" si="1757"/>
        <v>2.96499111815974e-003</v>
      </c>
      <c r="O36" s="364"/>
      <c r="P36" s="364"/>
      <c r="Q36" s="364"/>
      <c r="R36" s="364"/>
      <c r="S36" s="364"/>
      <c r="T36" s="364"/>
    </row>
    <row r="37" s="202" customFormat="1" ht="18" customHeight="1">
      <c r="A37" s="378">
        <v>28</v>
      </c>
      <c r="B37" s="380" t="s">
        <v>113</v>
      </c>
      <c r="C37" s="235" t="s">
        <v>78</v>
      </c>
      <c r="D37" s="235"/>
      <c r="E37" s="381">
        <v>3640</v>
      </c>
      <c r="F37" s="389">
        <v>1663.1700000000001</v>
      </c>
      <c r="G37" s="382">
        <v>0.45700000000000002</v>
      </c>
      <c r="H37" s="381">
        <v>4806</v>
      </c>
      <c r="I37" s="375">
        <v>3450.8000000000002</v>
      </c>
      <c r="J37" s="382">
        <v>0.71799999999999997</v>
      </c>
      <c r="K37" s="381">
        <v>4806</v>
      </c>
      <c r="L37" s="389">
        <v>3785.8000000000002</v>
      </c>
      <c r="M37" s="390">
        <v>0.78800000000000003</v>
      </c>
      <c r="N37" s="377">
        <f t="shared" si="1757"/>
        <v>2.7311582135222199e-003</v>
      </c>
      <c r="O37" s="364"/>
      <c r="P37" s="364"/>
      <c r="Q37" s="364"/>
      <c r="R37" s="364"/>
      <c r="S37" s="364"/>
      <c r="T37" s="364"/>
    </row>
    <row r="38" s="202" customFormat="1" ht="18" customHeight="1">
      <c r="A38" s="378">
        <v>29</v>
      </c>
      <c r="B38" s="380" t="s">
        <v>114</v>
      </c>
      <c r="C38" s="235" t="s">
        <v>78</v>
      </c>
      <c r="D38" s="235"/>
      <c r="E38" s="381">
        <v>2488</v>
      </c>
      <c r="F38" s="389">
        <v>1454.5899999999999</v>
      </c>
      <c r="G38" s="382">
        <v>0.58499999999999996</v>
      </c>
      <c r="H38" s="381">
        <v>3486</v>
      </c>
      <c r="I38" s="375">
        <v>2676.8499999999999</v>
      </c>
      <c r="J38" s="382">
        <v>0.76800000000000002</v>
      </c>
      <c r="K38" s="381">
        <v>3486</v>
      </c>
      <c r="L38" s="389">
        <v>2946.2800000000002</v>
      </c>
      <c r="M38" s="390">
        <v>0.84499999999999997</v>
      </c>
      <c r="N38" s="377">
        <f t="shared" si="1757"/>
        <v>2.5187848238334199e-003</v>
      </c>
      <c r="O38" s="364"/>
      <c r="P38" s="364"/>
      <c r="Q38" s="364"/>
      <c r="R38" s="364"/>
      <c r="S38" s="364"/>
      <c r="T38" s="364"/>
    </row>
    <row r="39" s="202" customFormat="1" ht="18" customHeight="1">
      <c r="A39" s="378">
        <v>30</v>
      </c>
      <c r="B39" s="380" t="s">
        <v>115</v>
      </c>
      <c r="C39" s="235" t="s">
        <v>78</v>
      </c>
      <c r="D39" s="235"/>
      <c r="E39" s="381">
        <v>2083</v>
      </c>
      <c r="F39" s="389">
        <v>1180</v>
      </c>
      <c r="G39" s="382">
        <v>0.56599999999999995</v>
      </c>
      <c r="H39" s="381">
        <v>3060</v>
      </c>
      <c r="I39" s="375">
        <v>2454.8699999999999</v>
      </c>
      <c r="J39" s="382">
        <v>0.80200000000000005</v>
      </c>
      <c r="K39" s="381">
        <v>5083</v>
      </c>
      <c r="L39" s="389">
        <v>2605.1199999999999</v>
      </c>
      <c r="M39" s="390">
        <v>0.51300000000000001</v>
      </c>
      <c r="N39" s="377">
        <f t="shared" si="1757"/>
        <v>1.82975889404355e-003</v>
      </c>
      <c r="O39" s="364"/>
      <c r="P39" s="364"/>
      <c r="Q39" s="364"/>
      <c r="R39" s="364"/>
      <c r="S39" s="364"/>
      <c r="T39" s="364"/>
    </row>
    <row r="40" s="202" customFormat="1" ht="18" customHeight="1">
      <c r="A40" s="378">
        <v>31</v>
      </c>
      <c r="B40" s="380" t="s">
        <v>116</v>
      </c>
      <c r="C40" s="235" t="s">
        <v>78</v>
      </c>
      <c r="D40" s="235"/>
      <c r="E40" s="381">
        <v>2447</v>
      </c>
      <c r="F40" s="389">
        <v>1364.1600000000001</v>
      </c>
      <c r="G40" s="382">
        <v>0.55700000000000005</v>
      </c>
      <c r="H40" s="381">
        <v>3470</v>
      </c>
      <c r="I40" s="375">
        <v>2779.79</v>
      </c>
      <c r="J40" s="382">
        <v>0.80100000000000005</v>
      </c>
      <c r="K40" s="381">
        <v>3470</v>
      </c>
      <c r="L40" s="389">
        <v>3369.46</v>
      </c>
      <c r="M40" s="390">
        <v>0.97099999999999997</v>
      </c>
      <c r="N40" s="377">
        <f t="shared" si="1757"/>
        <v>2.8884217679352002e-003</v>
      </c>
      <c r="O40" s="364"/>
      <c r="P40" s="364"/>
      <c r="Q40" s="364"/>
      <c r="R40" s="364"/>
      <c r="S40" s="364"/>
      <c r="T40" s="364"/>
    </row>
    <row r="41" s="202" customFormat="1" ht="18" customHeight="1">
      <c r="A41" s="378">
        <v>32</v>
      </c>
      <c r="B41" s="380" t="s">
        <v>117</v>
      </c>
      <c r="C41" s="235" t="s">
        <v>78</v>
      </c>
      <c r="D41" s="235"/>
      <c r="E41" s="381">
        <v>3011</v>
      </c>
      <c r="F41" s="389">
        <v>1507.25</v>
      </c>
      <c r="G41" s="382">
        <v>0.501</v>
      </c>
      <c r="H41" s="381">
        <v>4074</v>
      </c>
      <c r="I41" s="375">
        <v>3334.1700000000001</v>
      </c>
      <c r="J41" s="382">
        <v>0.81799999999999995</v>
      </c>
      <c r="K41" s="381">
        <v>4074</v>
      </c>
      <c r="L41" s="389">
        <v>3356.0700000000002</v>
      </c>
      <c r="M41" s="390">
        <v>0.82399999999999995</v>
      </c>
      <c r="N41" s="377">
        <f t="shared" si="1757"/>
        <v>2.63402837032582e-003</v>
      </c>
      <c r="O41" s="364"/>
      <c r="P41" s="364"/>
      <c r="Q41" s="364"/>
      <c r="R41" s="364"/>
      <c r="S41" s="364"/>
      <c r="T41" s="364"/>
    </row>
    <row r="42" s="202" customFormat="1" ht="18" customHeight="1">
      <c r="A42" s="378">
        <v>33</v>
      </c>
      <c r="B42" s="380" t="s">
        <v>118</v>
      </c>
      <c r="C42" s="235" t="s">
        <v>78</v>
      </c>
      <c r="D42" s="235"/>
      <c r="E42" s="381">
        <v>2640</v>
      </c>
      <c r="F42" s="389">
        <v>1355.25</v>
      </c>
      <c r="G42" s="382">
        <v>0.51300000000000001</v>
      </c>
      <c r="H42" s="381">
        <v>3687</v>
      </c>
      <c r="I42" s="375">
        <v>2953.0700000000002</v>
      </c>
      <c r="J42" s="382">
        <v>0.80100000000000005</v>
      </c>
      <c r="K42" s="381">
        <v>3687</v>
      </c>
      <c r="L42" s="389">
        <v>3331.0100000000002</v>
      </c>
      <c r="M42" s="390">
        <v>0.90300000000000002</v>
      </c>
      <c r="N42" s="377">
        <f t="shared" si="1757"/>
        <v>2.75886681194875e-003</v>
      </c>
      <c r="O42" s="364"/>
      <c r="P42" s="364"/>
      <c r="Q42" s="364"/>
      <c r="R42" s="364"/>
      <c r="S42" s="364"/>
      <c r="T42" s="364"/>
    </row>
    <row r="43" s="202" customFormat="1" ht="18" customHeight="1">
      <c r="A43" s="378">
        <v>34</v>
      </c>
      <c r="B43" s="380" t="s">
        <v>119</v>
      </c>
      <c r="C43" s="235" t="s">
        <v>78</v>
      </c>
      <c r="D43" s="235"/>
      <c r="E43" s="381">
        <v>3221.5</v>
      </c>
      <c r="F43" s="389">
        <v>1734.8800000000001</v>
      </c>
      <c r="G43" s="382">
        <v>0.53900000000000003</v>
      </c>
      <c r="H43" s="381">
        <v>4746.5</v>
      </c>
      <c r="I43" s="375">
        <v>3921.3099999999999</v>
      </c>
      <c r="J43" s="382">
        <v>0.82599999999999996</v>
      </c>
      <c r="K43" s="381">
        <v>4746.5</v>
      </c>
      <c r="L43" s="389">
        <v>4613.3999999999996</v>
      </c>
      <c r="M43" s="390">
        <v>0.97199999999999998</v>
      </c>
      <c r="N43" s="377">
        <f t="shared" si="1757"/>
        <v>3.34812683483963e-003</v>
      </c>
      <c r="O43" s="364"/>
      <c r="P43" s="364"/>
      <c r="Q43" s="364"/>
      <c r="R43" s="364"/>
      <c r="S43" s="364"/>
      <c r="T43" s="364"/>
    </row>
    <row r="44" s="202" customFormat="1" ht="18" customHeight="1">
      <c r="A44" s="378">
        <v>35</v>
      </c>
      <c r="B44" s="380" t="s">
        <v>120</v>
      </c>
      <c r="C44" s="235" t="s">
        <v>78</v>
      </c>
      <c r="D44" s="235"/>
      <c r="E44" s="381">
        <v>4206</v>
      </c>
      <c r="F44" s="389">
        <v>2135.1500000000001</v>
      </c>
      <c r="G44" s="382">
        <v>0.50800000000000001</v>
      </c>
      <c r="H44" s="381">
        <v>5190</v>
      </c>
      <c r="I44" s="375">
        <v>3673.3000000000002</v>
      </c>
      <c r="J44" s="382">
        <v>0.70799999999999996</v>
      </c>
      <c r="K44" s="381">
        <v>5190</v>
      </c>
      <c r="L44" s="389">
        <v>3898.3000000000002</v>
      </c>
      <c r="M44" s="390">
        <v>0.751</v>
      </c>
      <c r="N44" s="377">
        <f t="shared" si="1757"/>
        <v>2.7097896625491598e-003</v>
      </c>
      <c r="O44" s="364"/>
      <c r="P44" s="364"/>
      <c r="Q44" s="364"/>
      <c r="R44" s="364"/>
      <c r="S44" s="364"/>
      <c r="T44" s="364"/>
    </row>
    <row r="45" s="202" customFormat="1" ht="18" customHeight="1">
      <c r="A45" s="365"/>
      <c r="B45" s="391" t="s">
        <v>384</v>
      </c>
      <c r="C45" s="366"/>
      <c r="D45" s="366"/>
      <c r="E45" s="392">
        <v>65674.850000000006</v>
      </c>
      <c r="F45" s="366">
        <f>SUM(F46:F51)</f>
        <v>30623.849999999999</v>
      </c>
      <c r="G45" s="393"/>
      <c r="H45" s="392">
        <v>72290.850000000006</v>
      </c>
      <c r="I45" s="366">
        <f>SUM(I46:I51)</f>
        <v>57727.169999999998</v>
      </c>
      <c r="J45" s="393"/>
      <c r="K45" s="366"/>
      <c r="L45" s="366"/>
      <c r="M45" s="366"/>
      <c r="N45" s="370"/>
      <c r="O45" s="364"/>
      <c r="P45" s="371"/>
      <c r="Q45" s="364"/>
      <c r="R45" s="364"/>
      <c r="S45" s="364"/>
    </row>
    <row r="46" s="202" customFormat="1" ht="18" customHeight="1">
      <c r="A46" s="372">
        <v>36</v>
      </c>
      <c r="B46" s="394" t="s">
        <v>191</v>
      </c>
      <c r="C46" s="374"/>
      <c r="D46" s="374"/>
      <c r="E46" s="381">
        <v>10</v>
      </c>
      <c r="F46" s="389"/>
      <c r="G46" s="382"/>
      <c r="H46" s="381">
        <v>10</v>
      </c>
      <c r="I46" s="375"/>
      <c r="J46" s="382"/>
      <c r="K46" s="381"/>
      <c r="L46" s="389"/>
      <c r="M46" s="395"/>
      <c r="N46" s="377">
        <f t="shared" si="1757"/>
        <v>0</v>
      </c>
      <c r="O46" s="364"/>
      <c r="P46" s="364"/>
      <c r="Q46" s="364"/>
      <c r="R46" s="364"/>
      <c r="S46" s="364"/>
      <c r="T46" s="364"/>
    </row>
    <row r="47" s="202" customFormat="1" ht="18" customHeight="1">
      <c r="A47" s="378">
        <v>37</v>
      </c>
      <c r="B47" s="380" t="s">
        <v>192</v>
      </c>
      <c r="C47" s="235" t="s">
        <v>90</v>
      </c>
      <c r="D47" s="235"/>
      <c r="E47" s="384">
        <v>14254.799999999999</v>
      </c>
      <c r="F47" s="389">
        <v>6143</v>
      </c>
      <c r="G47" s="382">
        <v>0.43099999999999999</v>
      </c>
      <c r="H47" s="384">
        <v>15811.799999999999</v>
      </c>
      <c r="I47" s="375">
        <v>12675.91</v>
      </c>
      <c r="J47" s="382">
        <v>0.80200000000000005</v>
      </c>
      <c r="K47" s="384">
        <v>16053.799999999999</v>
      </c>
      <c r="L47" s="389">
        <v>15587.73</v>
      </c>
      <c r="M47" s="390">
        <v>0.97099999999999997</v>
      </c>
      <c r="N47" s="377">
        <f t="shared" si="1757"/>
        <v>7.3870839743187099e-003</v>
      </c>
      <c r="O47" s="364"/>
      <c r="P47" s="364"/>
      <c r="Q47" s="364"/>
      <c r="R47" s="364"/>
      <c r="S47" s="364"/>
      <c r="T47" s="364"/>
    </row>
    <row r="48" s="202" customFormat="1" ht="18" customHeight="1">
      <c r="A48" s="378">
        <v>38</v>
      </c>
      <c r="B48" s="380" t="s">
        <v>193</v>
      </c>
      <c r="C48" s="235" t="s">
        <v>90</v>
      </c>
      <c r="D48" s="235" t="s">
        <v>91</v>
      </c>
      <c r="E48" s="381">
        <v>20359</v>
      </c>
      <c r="F48" s="389">
        <v>9207.5</v>
      </c>
      <c r="G48" s="382">
        <v>0.45200000000000001</v>
      </c>
      <c r="H48" s="381">
        <v>21566</v>
      </c>
      <c r="I48" s="375">
        <v>16280.889999999999</v>
      </c>
      <c r="J48" s="382">
        <v>0.755</v>
      </c>
      <c r="K48" s="381">
        <v>21566</v>
      </c>
      <c r="L48" s="389">
        <v>20936.959999999999</v>
      </c>
      <c r="M48" s="390">
        <v>0.97099999999999997</v>
      </c>
      <c r="N48" s="377">
        <f t="shared" si="1757"/>
        <v>9.3566245749317906e-003</v>
      </c>
      <c r="O48" s="364"/>
      <c r="P48" s="364"/>
      <c r="Q48" s="364"/>
      <c r="R48" s="364"/>
      <c r="S48" s="364"/>
      <c r="T48" s="364"/>
    </row>
    <row r="49" s="202" customFormat="1" ht="18" customHeight="1">
      <c r="A49" s="378">
        <v>39</v>
      </c>
      <c r="B49" s="380" t="s">
        <v>195</v>
      </c>
      <c r="C49" s="235" t="s">
        <v>90</v>
      </c>
      <c r="D49" s="235"/>
      <c r="E49" s="381">
        <v>11364.629999999999</v>
      </c>
      <c r="F49" s="389">
        <v>5013.8199999999997</v>
      </c>
      <c r="G49" s="382">
        <v>0.441</v>
      </c>
      <c r="H49" s="381">
        <v>12157.629999999999</v>
      </c>
      <c r="I49" s="375">
        <v>9819.7000000000007</v>
      </c>
      <c r="J49" s="382">
        <v>0.80800000000000005</v>
      </c>
      <c r="K49" s="381">
        <v>12157.629999999999</v>
      </c>
      <c r="L49" s="389">
        <v>11800.190000000001</v>
      </c>
      <c r="M49" s="390">
        <v>0.97099999999999997</v>
      </c>
      <c r="N49" s="377">
        <f t="shared" si="1757"/>
        <v>5.9925442356187301e-003</v>
      </c>
      <c r="O49" s="364"/>
      <c r="P49" s="364"/>
      <c r="Q49" s="364"/>
      <c r="R49" s="364"/>
      <c r="S49" s="364"/>
      <c r="T49" s="364"/>
    </row>
    <row r="50" s="202" customFormat="1" ht="18" customHeight="1">
      <c r="A50" s="378">
        <v>40</v>
      </c>
      <c r="B50" s="380" t="s">
        <v>196</v>
      </c>
      <c r="C50" s="235" t="s">
        <v>90</v>
      </c>
      <c r="D50" s="235"/>
      <c r="E50" s="384">
        <v>10944.07</v>
      </c>
      <c r="F50" s="389">
        <v>5827.0699999999997</v>
      </c>
      <c r="G50" s="382">
        <v>0.53200000000000003</v>
      </c>
      <c r="H50" s="384">
        <v>12740.07</v>
      </c>
      <c r="I50" s="375">
        <v>10868.09</v>
      </c>
      <c r="J50" s="382">
        <v>0.85299999999999998</v>
      </c>
      <c r="K50" s="384">
        <v>12973.07</v>
      </c>
      <c r="L50" s="389">
        <v>10713.07</v>
      </c>
      <c r="M50" s="390">
        <v>0.82599999999999996</v>
      </c>
      <c r="N50" s="377">
        <f t="shared" si="1757"/>
        <v>5.3462067211037098e-003</v>
      </c>
      <c r="O50" s="364"/>
      <c r="P50" s="364"/>
      <c r="Q50" s="364"/>
      <c r="R50" s="364"/>
      <c r="S50" s="364"/>
      <c r="T50" s="364"/>
    </row>
    <row r="51" s="202" customFormat="1" ht="18" customHeight="1">
      <c r="A51" s="378">
        <v>41</v>
      </c>
      <c r="B51" s="380" t="s">
        <v>194</v>
      </c>
      <c r="C51" s="235" t="s">
        <v>78</v>
      </c>
      <c r="D51" s="235"/>
      <c r="E51" s="381">
        <v>8742.3500000000004</v>
      </c>
      <c r="F51" s="389">
        <v>4432.46</v>
      </c>
      <c r="G51" s="382">
        <v>0.50700000000000001</v>
      </c>
      <c r="H51" s="381">
        <v>10005.35</v>
      </c>
      <c r="I51" s="375">
        <v>8082.5799999999999</v>
      </c>
      <c r="J51" s="382">
        <v>0.80800000000000005</v>
      </c>
      <c r="K51" s="381">
        <v>10205.35</v>
      </c>
      <c r="L51" s="389">
        <v>9380.1800000000003</v>
      </c>
      <c r="M51" s="390">
        <v>0.91900000000000004</v>
      </c>
      <c r="N51" s="377">
        <f t="shared" si="1757"/>
        <v>5.01327178611878e-003</v>
      </c>
      <c r="O51" s="364"/>
      <c r="P51" s="364"/>
      <c r="Q51" s="364"/>
      <c r="R51" s="364"/>
      <c r="S51" s="364"/>
      <c r="T51" s="364"/>
    </row>
    <row r="52" s="202" customFormat="1" ht="18" customHeight="1">
      <c r="A52" s="365"/>
      <c r="B52" s="391" t="s">
        <v>457</v>
      </c>
      <c r="C52" s="366"/>
      <c r="D52" s="366"/>
      <c r="E52" s="392">
        <v>447449.59999999998</v>
      </c>
      <c r="F52" s="366">
        <f>SUM(F53:F64)</f>
        <v>233471.85000000001</v>
      </c>
      <c r="G52" s="393"/>
      <c r="H52" s="392">
        <v>503656.59999999998</v>
      </c>
      <c r="I52" s="366">
        <f>SUM(I53:I64)</f>
        <v>372070.03000000003</v>
      </c>
      <c r="J52" s="393"/>
      <c r="K52" s="366"/>
      <c r="L52" s="366"/>
      <c r="M52" s="366"/>
      <c r="N52" s="370"/>
      <c r="O52" s="364"/>
      <c r="P52" s="371"/>
      <c r="Q52" s="364"/>
      <c r="R52" s="364"/>
      <c r="S52" s="364"/>
    </row>
    <row r="53" s="202" customFormat="1" ht="18" customHeight="1">
      <c r="A53" s="372">
        <v>42</v>
      </c>
      <c r="B53" s="394" t="s">
        <v>83</v>
      </c>
      <c r="C53" s="374"/>
      <c r="D53" s="374"/>
      <c r="E53" s="381">
        <v>20</v>
      </c>
      <c r="F53" s="389"/>
      <c r="G53" s="382"/>
      <c r="H53" s="381">
        <v>150</v>
      </c>
      <c r="I53" s="375"/>
      <c r="J53" s="382"/>
      <c r="K53" s="381"/>
      <c r="L53" s="389"/>
      <c r="M53" s="395"/>
      <c r="N53" s="377">
        <f t="shared" si="1757"/>
        <v>0</v>
      </c>
      <c r="O53" s="364"/>
      <c r="P53" s="364"/>
      <c r="Q53" s="364"/>
      <c r="R53" s="364"/>
      <c r="S53" s="364"/>
      <c r="T53" s="364"/>
    </row>
    <row r="54" s="202" customFormat="1" ht="18" customHeight="1">
      <c r="A54" s="378">
        <v>43</v>
      </c>
      <c r="B54" s="380" t="s">
        <v>84</v>
      </c>
      <c r="C54" s="235" t="s">
        <v>93</v>
      </c>
      <c r="D54" s="235" t="s">
        <v>1556</v>
      </c>
      <c r="E54" s="381">
        <v>50925.739999999998</v>
      </c>
      <c r="F54" s="389">
        <v>26037.630000000001</v>
      </c>
      <c r="G54" s="382">
        <v>0.51100000000000001</v>
      </c>
      <c r="H54" s="381">
        <v>60082.739999999998</v>
      </c>
      <c r="I54" s="375">
        <v>35661.690000000002</v>
      </c>
      <c r="J54" s="382">
        <v>0.59399999999999997</v>
      </c>
      <c r="K54" s="381">
        <v>62278.82</v>
      </c>
      <c r="L54" s="389">
        <v>57704.360000000001</v>
      </c>
      <c r="M54" s="390">
        <v>0.92700000000000005</v>
      </c>
      <c r="N54" s="377">
        <f t="shared" si="1757"/>
        <v>2.2819396574886401e-002</v>
      </c>
      <c r="O54" s="364"/>
      <c r="P54" s="364"/>
      <c r="Q54" s="364"/>
      <c r="R54" s="364"/>
      <c r="S54" s="364"/>
      <c r="T54" s="364"/>
    </row>
    <row r="55" s="202" customFormat="1" ht="18" customHeight="1">
      <c r="A55" s="378">
        <v>44</v>
      </c>
      <c r="B55" s="380" t="s">
        <v>85</v>
      </c>
      <c r="C55" s="235" t="s">
        <v>93</v>
      </c>
      <c r="D55" s="235" t="s">
        <v>1556</v>
      </c>
      <c r="E55" s="381">
        <v>34769.260000000002</v>
      </c>
      <c r="F55" s="389">
        <v>17520.5</v>
      </c>
      <c r="G55" s="382">
        <v>0.504</v>
      </c>
      <c r="H55" s="381">
        <v>40784.260000000002</v>
      </c>
      <c r="I55" s="375">
        <v>29849.130000000001</v>
      </c>
      <c r="J55" s="382">
        <v>0.73199999999999998</v>
      </c>
      <c r="K55" s="381">
        <v>41056.620000000003</v>
      </c>
      <c r="L55" s="389">
        <v>39906.989999999998</v>
      </c>
      <c r="M55" s="390">
        <v>0.97199999999999998</v>
      </c>
      <c r="N55" s="377">
        <f t="shared" si="1757"/>
        <v>1.63429239264569e-002</v>
      </c>
      <c r="O55" s="364"/>
      <c r="P55" s="364"/>
      <c r="Q55" s="364"/>
      <c r="R55" s="364"/>
      <c r="S55" s="364"/>
      <c r="T55" s="364"/>
    </row>
    <row r="56" s="202" customFormat="1" ht="18" customHeight="1">
      <c r="A56" s="378">
        <v>45</v>
      </c>
      <c r="B56" s="380" t="s">
        <v>86</v>
      </c>
      <c r="C56" s="235" t="s">
        <v>93</v>
      </c>
      <c r="D56" s="235" t="s">
        <v>1556</v>
      </c>
      <c r="E56" s="381">
        <v>35125.860000000001</v>
      </c>
      <c r="F56" s="389">
        <v>17898.57</v>
      </c>
      <c r="G56" s="382">
        <v>0.51000000000000001</v>
      </c>
      <c r="H56" s="381">
        <v>38727.860000000001</v>
      </c>
      <c r="I56" s="375">
        <v>29123.049999999999</v>
      </c>
      <c r="J56" s="382">
        <v>0.752</v>
      </c>
      <c r="K56" s="381">
        <v>38710.540000000001</v>
      </c>
      <c r="L56" s="389">
        <v>33823.449999999997</v>
      </c>
      <c r="M56" s="390">
        <v>0.874</v>
      </c>
      <c r="N56" s="377">
        <f t="shared" si="1757"/>
        <v>1.3936707806400699e-002</v>
      </c>
      <c r="O56" s="364"/>
      <c r="P56" s="364"/>
      <c r="Q56" s="364"/>
      <c r="R56" s="364"/>
      <c r="S56" s="364"/>
      <c r="T56" s="364"/>
    </row>
    <row r="57" s="202" customFormat="1" ht="18" customHeight="1">
      <c r="A57" s="378">
        <v>46</v>
      </c>
      <c r="B57" s="380" t="s">
        <v>87</v>
      </c>
      <c r="C57" s="235" t="s">
        <v>90</v>
      </c>
      <c r="D57" s="235" t="s">
        <v>1556</v>
      </c>
      <c r="E57" s="381">
        <v>30447.849999999999</v>
      </c>
      <c r="F57" s="389">
        <v>15876.15</v>
      </c>
      <c r="G57" s="382">
        <v>0.52100000000000002</v>
      </c>
      <c r="H57" s="381">
        <v>34434.849999999999</v>
      </c>
      <c r="I57" s="375">
        <v>25078.02</v>
      </c>
      <c r="J57" s="382">
        <v>0.72799999999999998</v>
      </c>
      <c r="K57" s="381">
        <v>34361.849999999999</v>
      </c>
      <c r="L57" s="389">
        <v>30830.259999999998</v>
      </c>
      <c r="M57" s="390">
        <v>0.89700000000000002</v>
      </c>
      <c r="N57" s="377">
        <f t="shared" si="1757"/>
        <v>1.2873672598865e-002</v>
      </c>
      <c r="O57" s="364"/>
      <c r="P57" s="364"/>
      <c r="Q57" s="364"/>
      <c r="R57" s="364"/>
      <c r="S57" s="364"/>
      <c r="T57" s="364"/>
    </row>
    <row r="58" s="202" customFormat="1" ht="18" customHeight="1">
      <c r="A58" s="378">
        <v>47</v>
      </c>
      <c r="B58" s="380" t="s">
        <v>88</v>
      </c>
      <c r="C58" s="235" t="s">
        <v>93</v>
      </c>
      <c r="D58" s="235" t="s">
        <v>1556</v>
      </c>
      <c r="E58" s="381">
        <v>30461.09</v>
      </c>
      <c r="F58" s="389">
        <v>15268.18</v>
      </c>
      <c r="G58" s="382">
        <v>0.501</v>
      </c>
      <c r="H58" s="381">
        <v>35580.089999999997</v>
      </c>
      <c r="I58" s="375">
        <v>24072.34</v>
      </c>
      <c r="J58" s="382">
        <v>0.67700000000000005</v>
      </c>
      <c r="K58" s="381">
        <v>35673.290000000001</v>
      </c>
      <c r="L58" s="389">
        <v>29740.970000000001</v>
      </c>
      <c r="M58" s="390">
        <v>0.83399999999999996</v>
      </c>
      <c r="N58" s="377">
        <f t="shared" si="1757"/>
        <v>1.2365692515674201e-002</v>
      </c>
      <c r="O58" s="364"/>
      <c r="P58" s="364"/>
      <c r="Q58" s="364"/>
      <c r="R58" s="364"/>
      <c r="S58" s="364"/>
      <c r="T58" s="364"/>
    </row>
    <row r="59" s="202" customFormat="1" ht="18" customHeight="1">
      <c r="A59" s="378">
        <v>48</v>
      </c>
      <c r="B59" s="380" t="s">
        <v>89</v>
      </c>
      <c r="C59" s="235" t="s">
        <v>93</v>
      </c>
      <c r="D59" s="235" t="s">
        <v>1556</v>
      </c>
      <c r="E59" s="381">
        <v>39983.029999999999</v>
      </c>
      <c r="F59" s="389">
        <v>23346.75</v>
      </c>
      <c r="G59" s="382">
        <v>0.58399999999999996</v>
      </c>
      <c r="H59" s="381">
        <v>44765.029999999999</v>
      </c>
      <c r="I59" s="375">
        <v>35439.75</v>
      </c>
      <c r="J59" s="382">
        <v>0.79200000000000004</v>
      </c>
      <c r="K59" s="381">
        <v>44700.730000000003</v>
      </c>
      <c r="L59" s="389">
        <v>42313.139999999999</v>
      </c>
      <c r="M59" s="390">
        <v>0.94699999999999995</v>
      </c>
      <c r="N59" s="377">
        <f t="shared" si="1757"/>
        <v>1.7186421982887699e-002</v>
      </c>
      <c r="O59" s="364"/>
      <c r="P59" s="364"/>
      <c r="Q59" s="364"/>
      <c r="R59" s="364"/>
      <c r="S59" s="364"/>
      <c r="T59" s="364"/>
    </row>
    <row r="60" s="202" customFormat="1" ht="18" customHeight="1">
      <c r="A60" s="378">
        <v>49</v>
      </c>
      <c r="B60" s="380" t="s">
        <v>92</v>
      </c>
      <c r="C60" s="235" t="s">
        <v>90</v>
      </c>
      <c r="D60" s="235" t="s">
        <v>91</v>
      </c>
      <c r="E60" s="384">
        <v>15108.98</v>
      </c>
      <c r="F60" s="389">
        <v>7579.2700000000004</v>
      </c>
      <c r="G60" s="382">
        <v>0.502</v>
      </c>
      <c r="H60" s="384">
        <v>17588.98</v>
      </c>
      <c r="I60" s="375">
        <v>14826.870000000001</v>
      </c>
      <c r="J60" s="382">
        <v>0.84299999999999997</v>
      </c>
      <c r="K60" s="384">
        <v>17784.98</v>
      </c>
      <c r="L60" s="389">
        <v>17315.849999999999</v>
      </c>
      <c r="M60" s="390">
        <v>0.97399999999999998</v>
      </c>
      <c r="N60" s="377">
        <f t="shared" si="1757"/>
        <v>8.0284540226552206e-003</v>
      </c>
      <c r="O60" s="364"/>
      <c r="P60" s="364"/>
      <c r="Q60" s="364"/>
      <c r="R60" s="364"/>
      <c r="S60" s="364"/>
      <c r="T60" s="364"/>
    </row>
    <row r="61" s="202" customFormat="1" ht="18" customHeight="1">
      <c r="A61" s="378">
        <v>50</v>
      </c>
      <c r="B61" s="380" t="s">
        <v>95</v>
      </c>
      <c r="C61" s="235" t="s">
        <v>93</v>
      </c>
      <c r="D61" s="235" t="s">
        <v>1556</v>
      </c>
      <c r="E61" s="384">
        <v>136773.60000000001</v>
      </c>
      <c r="F61" s="389">
        <v>69432.990000000005</v>
      </c>
      <c r="G61" s="382">
        <v>0.50800000000000001</v>
      </c>
      <c r="H61" s="384">
        <v>146854.60000000001</v>
      </c>
      <c r="I61" s="375">
        <v>118939.21000000001</v>
      </c>
      <c r="J61" s="382">
        <v>0.81000000000000005</v>
      </c>
      <c r="K61" s="384">
        <v>150231.32000000001</v>
      </c>
      <c r="L61" s="389">
        <v>145135.10000000001</v>
      </c>
      <c r="M61" s="390">
        <v>0.96599999999999997</v>
      </c>
      <c r="N61" s="377">
        <f t="shared" si="1757"/>
        <v>5.5076829211688001e-002</v>
      </c>
      <c r="O61" s="364"/>
      <c r="P61" s="364"/>
      <c r="Q61" s="364"/>
      <c r="R61" s="364"/>
      <c r="S61" s="364"/>
      <c r="T61" s="364"/>
    </row>
    <row r="62" s="202" customFormat="1" ht="18" customHeight="1">
      <c r="A62" s="378">
        <v>51</v>
      </c>
      <c r="B62" s="380" t="s">
        <v>96</v>
      </c>
      <c r="C62" s="235" t="s">
        <v>93</v>
      </c>
      <c r="D62" s="235" t="s">
        <v>1556</v>
      </c>
      <c r="E62" s="381">
        <v>54754.790000000001</v>
      </c>
      <c r="F62" s="389">
        <v>30728.779999999999</v>
      </c>
      <c r="G62" s="382">
        <v>0.56100000000000005</v>
      </c>
      <c r="H62" s="381">
        <v>60591.790000000001</v>
      </c>
      <c r="I62" s="375">
        <v>43622.300000000003</v>
      </c>
      <c r="J62" s="382">
        <v>0.71999999999999997</v>
      </c>
      <c r="K62" s="381">
        <v>63712.610000000001</v>
      </c>
      <c r="L62" s="389">
        <v>50585.949999999997</v>
      </c>
      <c r="M62" s="390">
        <v>0.79400000000000004</v>
      </c>
      <c r="N62" s="377">
        <f t="shared" si="1757"/>
        <v>1.9972754170631199e-002</v>
      </c>
      <c r="O62" s="364"/>
      <c r="P62" s="364"/>
      <c r="Q62" s="364"/>
      <c r="R62" s="364"/>
      <c r="S62" s="364"/>
      <c r="T62" s="364"/>
    </row>
    <row r="63" s="202" customFormat="1" ht="18" customHeight="1">
      <c r="A63" s="378">
        <v>52</v>
      </c>
      <c r="B63" s="380" t="s">
        <v>97</v>
      </c>
      <c r="C63" s="235" t="s">
        <v>90</v>
      </c>
      <c r="D63" s="235" t="s">
        <v>91</v>
      </c>
      <c r="E63" s="381">
        <v>16589.400000000001</v>
      </c>
      <c r="F63" s="389">
        <v>8364.4599999999991</v>
      </c>
      <c r="G63" s="382">
        <v>0.504</v>
      </c>
      <c r="H63" s="381">
        <v>19794.400000000001</v>
      </c>
      <c r="I63" s="375">
        <v>12840.42</v>
      </c>
      <c r="J63" s="382">
        <v>0.64900000000000002</v>
      </c>
      <c r="K63" s="381">
        <v>19625.84</v>
      </c>
      <c r="L63" s="389">
        <v>13721.01</v>
      </c>
      <c r="M63" s="390">
        <v>0.69899999999999995</v>
      </c>
      <c r="N63" s="377">
        <f t="shared" si="1757"/>
        <v>6.2381816997020296e-003</v>
      </c>
      <c r="O63" s="364"/>
      <c r="P63" s="364"/>
      <c r="Q63" s="364"/>
      <c r="R63" s="364"/>
      <c r="S63" s="364"/>
      <c r="T63" s="364"/>
    </row>
    <row r="64" s="202" customFormat="1" ht="18" customHeight="1">
      <c r="A64" s="378">
        <v>53</v>
      </c>
      <c r="B64" s="380" t="s">
        <v>98</v>
      </c>
      <c r="C64" s="235" t="s">
        <v>78</v>
      </c>
      <c r="D64" s="235"/>
      <c r="E64" s="381">
        <v>2490</v>
      </c>
      <c r="F64" s="389">
        <v>1418.5699999999999</v>
      </c>
      <c r="G64" s="382">
        <v>0.56999999999999995</v>
      </c>
      <c r="H64" s="381">
        <v>4302</v>
      </c>
      <c r="I64" s="375">
        <v>2617.25</v>
      </c>
      <c r="J64" s="382">
        <v>0.60799999999999998</v>
      </c>
      <c r="K64" s="381">
        <v>4229</v>
      </c>
      <c r="L64" s="389">
        <v>3960.1300000000001</v>
      </c>
      <c r="M64" s="390">
        <v>0.93600000000000005</v>
      </c>
      <c r="N64" s="377">
        <f t="shared" si="1757"/>
        <v>3.0465053679476599e-003</v>
      </c>
      <c r="O64" s="364"/>
      <c r="P64" s="364"/>
      <c r="Q64" s="364"/>
      <c r="R64" s="364"/>
      <c r="S64" s="364"/>
      <c r="T64" s="364"/>
    </row>
    <row r="65" s="202" customFormat="1" ht="18" customHeight="1">
      <c r="A65" s="365"/>
      <c r="B65" s="391" t="s">
        <v>458</v>
      </c>
      <c r="C65" s="366"/>
      <c r="D65" s="366"/>
      <c r="E65" s="392">
        <v>49484</v>
      </c>
      <c r="F65" s="366">
        <f>SUM(F66:F71)</f>
        <v>29013.23</v>
      </c>
      <c r="G65" s="393"/>
      <c r="H65" s="392">
        <v>54956</v>
      </c>
      <c r="I65" s="366">
        <f>SUM(I66:I71)</f>
        <v>45213.169999999998</v>
      </c>
      <c r="J65" s="393"/>
      <c r="K65" s="366"/>
      <c r="L65" s="366"/>
      <c r="M65" s="366"/>
      <c r="N65" s="370"/>
      <c r="O65" s="364"/>
      <c r="P65" s="371"/>
      <c r="Q65" s="364"/>
      <c r="R65" s="364"/>
      <c r="S65" s="364"/>
    </row>
    <row r="66" s="202" customFormat="1" ht="18" customHeight="1">
      <c r="A66" s="372">
        <v>54</v>
      </c>
      <c r="B66" s="394" t="s">
        <v>205</v>
      </c>
      <c r="C66" s="374"/>
      <c r="D66" s="374"/>
      <c r="E66" s="381">
        <v>10</v>
      </c>
      <c r="F66" s="389"/>
      <c r="G66" s="382"/>
      <c r="H66" s="381">
        <v>10</v>
      </c>
      <c r="I66" s="375"/>
      <c r="J66" s="382"/>
      <c r="K66" s="381"/>
      <c r="L66" s="389"/>
      <c r="M66" s="395"/>
      <c r="N66" s="377">
        <f t="shared" si="1757"/>
        <v>0</v>
      </c>
      <c r="O66" s="364"/>
      <c r="P66" s="364"/>
      <c r="Q66" s="364"/>
      <c r="R66" s="364"/>
      <c r="S66" s="364"/>
      <c r="T66" s="364"/>
    </row>
    <row r="67" s="202" customFormat="1" ht="18" customHeight="1">
      <c r="A67" s="378">
        <v>55</v>
      </c>
      <c r="B67" s="380" t="s">
        <v>206</v>
      </c>
      <c r="C67" s="235" t="s">
        <v>78</v>
      </c>
      <c r="D67" s="235"/>
      <c r="E67" s="381">
        <v>2257</v>
      </c>
      <c r="F67" s="389">
        <v>1227.6700000000001</v>
      </c>
      <c r="G67" s="382">
        <v>0.54400000000000004</v>
      </c>
      <c r="H67" s="381">
        <v>2790</v>
      </c>
      <c r="I67" s="375">
        <v>2214.3600000000001</v>
      </c>
      <c r="J67" s="382">
        <v>0.79400000000000004</v>
      </c>
      <c r="K67" s="381">
        <v>2790</v>
      </c>
      <c r="L67" s="389">
        <v>2513.46</v>
      </c>
      <c r="M67" s="390">
        <v>0.90100000000000002</v>
      </c>
      <c r="N67" s="377">
        <f t="shared" si="1757"/>
        <v>2.4544578561453301e-003</v>
      </c>
      <c r="O67" s="364"/>
      <c r="P67" s="364"/>
      <c r="Q67" s="364"/>
      <c r="R67" s="364"/>
      <c r="S67" s="364"/>
      <c r="T67" s="364"/>
    </row>
    <row r="68" s="202" customFormat="1" ht="18" customHeight="1">
      <c r="A68" s="378">
        <v>56</v>
      </c>
      <c r="B68" s="380" t="s">
        <v>207</v>
      </c>
      <c r="C68" s="235" t="s">
        <v>90</v>
      </c>
      <c r="D68" s="235"/>
      <c r="E68" s="384">
        <v>3548</v>
      </c>
      <c r="F68" s="389">
        <v>2172.0900000000001</v>
      </c>
      <c r="G68" s="382">
        <v>0.61199999999999999</v>
      </c>
      <c r="H68" s="384">
        <v>4077</v>
      </c>
      <c r="I68" s="375">
        <v>3612.0799999999999</v>
      </c>
      <c r="J68" s="382">
        <v>0.88600000000000001</v>
      </c>
      <c r="K68" s="384">
        <v>4227</v>
      </c>
      <c r="L68" s="389">
        <v>3946.1700000000001</v>
      </c>
      <c r="M68" s="390">
        <v>0.93400000000000005</v>
      </c>
      <c r="N68" s="377">
        <f t="shared" si="1757"/>
        <v>3.03797135699549e-003</v>
      </c>
      <c r="O68" s="364"/>
      <c r="P68" s="364"/>
      <c r="Q68" s="364"/>
      <c r="R68" s="364"/>
      <c r="S68" s="364"/>
      <c r="T68" s="364"/>
    </row>
    <row r="69" s="202" customFormat="1" ht="18" customHeight="1">
      <c r="A69" s="378">
        <v>57</v>
      </c>
      <c r="B69" s="380" t="s">
        <v>208</v>
      </c>
      <c r="C69" s="235" t="s">
        <v>90</v>
      </c>
      <c r="D69" s="235" t="s">
        <v>91</v>
      </c>
      <c r="E69" s="384">
        <v>11739</v>
      </c>
      <c r="F69" s="389">
        <v>7613.21</v>
      </c>
      <c r="G69" s="382">
        <v>0.64900000000000002</v>
      </c>
      <c r="H69" s="384">
        <v>12794</v>
      </c>
      <c r="I69" s="375">
        <v>10501.809999999999</v>
      </c>
      <c r="J69" s="382">
        <v>0.82099999999999995</v>
      </c>
      <c r="K69" s="384">
        <v>13018</v>
      </c>
      <c r="L69" s="389">
        <v>12733.01</v>
      </c>
      <c r="M69" s="390">
        <v>0.97799999999999998</v>
      </c>
      <c r="N69" s="377">
        <f t="shared" si="1757"/>
        <v>6.3478797633933397e-003</v>
      </c>
      <c r="O69" s="364"/>
      <c r="P69" s="364"/>
      <c r="Q69" s="364"/>
      <c r="R69" s="364"/>
      <c r="S69" s="364"/>
      <c r="T69" s="364"/>
    </row>
    <row r="70" s="202" customFormat="1" ht="18" customHeight="1">
      <c r="A70" s="378">
        <v>58</v>
      </c>
      <c r="B70" s="380" t="s">
        <v>209</v>
      </c>
      <c r="C70" s="235" t="s">
        <v>78</v>
      </c>
      <c r="D70" s="235"/>
      <c r="E70" s="384">
        <v>3306</v>
      </c>
      <c r="F70" s="389">
        <v>1793.8900000000001</v>
      </c>
      <c r="G70" s="382">
        <v>0.54300000000000004</v>
      </c>
      <c r="H70" s="384">
        <v>3843</v>
      </c>
      <c r="I70" s="375">
        <v>3398.5599999999999</v>
      </c>
      <c r="J70" s="382">
        <v>0.88400000000000001</v>
      </c>
      <c r="K70" s="384">
        <v>4093</v>
      </c>
      <c r="L70" s="389">
        <v>3764.3400000000001</v>
      </c>
      <c r="M70" s="390">
        <v>0.92000000000000004</v>
      </c>
      <c r="N70" s="377">
        <f t="shared" si="1757"/>
        <v>2.9472646998210399e-003</v>
      </c>
      <c r="O70" s="364"/>
      <c r="P70" s="364"/>
      <c r="Q70" s="364"/>
      <c r="R70" s="364"/>
      <c r="S70" s="364"/>
      <c r="T70" s="364"/>
    </row>
    <row r="71" s="202" customFormat="1" ht="18" customHeight="1">
      <c r="A71" s="378">
        <v>59</v>
      </c>
      <c r="B71" s="380" t="s">
        <v>210</v>
      </c>
      <c r="C71" s="235" t="s">
        <v>93</v>
      </c>
      <c r="D71" s="235" t="s">
        <v>1556</v>
      </c>
      <c r="E71" s="384">
        <v>28624</v>
      </c>
      <c r="F71" s="389">
        <v>16206.370000000001</v>
      </c>
      <c r="G71" s="382">
        <v>0.56599999999999995</v>
      </c>
      <c r="H71" s="384">
        <v>31442</v>
      </c>
      <c r="I71" s="375">
        <v>25486.360000000001</v>
      </c>
      <c r="J71" s="382">
        <v>0.81100000000000005</v>
      </c>
      <c r="K71" s="384">
        <v>31729</v>
      </c>
      <c r="L71" s="389">
        <v>28837.75</v>
      </c>
      <c r="M71" s="390">
        <v>0.90900000000000003</v>
      </c>
      <c r="N71" s="377">
        <f t="shared" si="1757"/>
        <v>1.21604118607025e-002</v>
      </c>
      <c r="O71" s="364"/>
      <c r="P71" s="364"/>
      <c r="Q71" s="364"/>
      <c r="R71" s="364"/>
      <c r="S71" s="364"/>
      <c r="T71" s="364"/>
    </row>
    <row r="72" s="202" customFormat="1" ht="18" customHeight="1">
      <c r="A72" s="365"/>
      <c r="B72" s="391" t="s">
        <v>382</v>
      </c>
      <c r="C72" s="366"/>
      <c r="D72" s="366"/>
      <c r="E72" s="392">
        <v>164511.39999999999</v>
      </c>
      <c r="F72" s="366">
        <f>SUM(F73:F83)</f>
        <v>86021.949999999997</v>
      </c>
      <c r="G72" s="393"/>
      <c r="H72" s="392">
        <v>175277.39999999999</v>
      </c>
      <c r="I72" s="366">
        <f>SUM(I73:I83)</f>
        <v>140962.12</v>
      </c>
      <c r="J72" s="393"/>
      <c r="K72" s="366"/>
      <c r="L72" s="366"/>
      <c r="M72" s="366"/>
      <c r="N72" s="370"/>
      <c r="O72" s="364"/>
      <c r="P72" s="371"/>
      <c r="Q72" s="364"/>
      <c r="R72" s="364"/>
      <c r="S72" s="364"/>
    </row>
    <row r="73" s="202" customFormat="1" ht="18" customHeight="1">
      <c r="A73" s="372">
        <v>60</v>
      </c>
      <c r="B73" s="394" t="s">
        <v>148</v>
      </c>
      <c r="C73" s="374"/>
      <c r="D73" s="374"/>
      <c r="E73" s="381">
        <v>30</v>
      </c>
      <c r="F73" s="389"/>
      <c r="G73" s="382"/>
      <c r="H73" s="381">
        <v>30</v>
      </c>
      <c r="I73" s="375"/>
      <c r="J73" s="382"/>
      <c r="K73" s="381"/>
      <c r="L73" s="389"/>
      <c r="M73" s="395"/>
      <c r="N73" s="377">
        <f t="shared" si="1757"/>
        <v>0</v>
      </c>
      <c r="O73" s="364"/>
      <c r="P73" s="364"/>
      <c r="Q73" s="364"/>
      <c r="R73" s="364"/>
      <c r="S73" s="364"/>
      <c r="T73" s="364"/>
    </row>
    <row r="74" s="202" customFormat="1" ht="18" customHeight="1">
      <c r="A74" s="378">
        <v>61</v>
      </c>
      <c r="B74" s="380" t="s">
        <v>149</v>
      </c>
      <c r="C74" s="235" t="s">
        <v>78</v>
      </c>
      <c r="D74" s="235"/>
      <c r="E74" s="381">
        <v>10857.030000000001</v>
      </c>
      <c r="F74" s="389">
        <v>5630.2200000000003</v>
      </c>
      <c r="G74" s="382">
        <v>0.51900000000000002</v>
      </c>
      <c r="H74" s="381">
        <v>11645.030000000001</v>
      </c>
      <c r="I74" s="375">
        <v>9472.1100000000006</v>
      </c>
      <c r="J74" s="382">
        <v>0.81299999999999994</v>
      </c>
      <c r="K74" s="381">
        <v>11645.030000000001</v>
      </c>
      <c r="L74" s="389">
        <v>10915.190000000001</v>
      </c>
      <c r="M74" s="390">
        <v>0.93700000000000006</v>
      </c>
      <c r="N74" s="377">
        <f t="shared" ref="N74:N135" si="1758">L74/$L$6*0.8+M74/$M$6*0.2</f>
        <v>5.6089958291936004e-003</v>
      </c>
      <c r="O74" s="364"/>
      <c r="P74" s="364"/>
      <c r="Q74" s="364"/>
      <c r="R74" s="364"/>
      <c r="S74" s="364"/>
      <c r="T74" s="364"/>
    </row>
    <row r="75" s="202" customFormat="1" ht="18" customHeight="1">
      <c r="A75" s="378">
        <v>62</v>
      </c>
      <c r="B75" s="380" t="s">
        <v>150</v>
      </c>
      <c r="C75" s="235" t="s">
        <v>90</v>
      </c>
      <c r="D75" s="235"/>
      <c r="E75" s="381">
        <v>7388.5</v>
      </c>
      <c r="F75" s="389">
        <v>4537.7700000000004</v>
      </c>
      <c r="G75" s="382">
        <v>0.61399999999999999</v>
      </c>
      <c r="H75" s="381">
        <v>7833.5</v>
      </c>
      <c r="I75" s="375">
        <v>6413.8100000000004</v>
      </c>
      <c r="J75" s="382">
        <v>0.81899999999999995</v>
      </c>
      <c r="K75" s="381">
        <v>7983.5</v>
      </c>
      <c r="L75" s="389">
        <v>7731.1800000000003</v>
      </c>
      <c r="M75" s="390">
        <v>0.96799999999999997</v>
      </c>
      <c r="N75" s="377">
        <f t="shared" si="1758"/>
        <v>4.4892785693018298e-003</v>
      </c>
      <c r="O75" s="364"/>
      <c r="P75" s="364"/>
      <c r="Q75" s="364"/>
      <c r="R75" s="364"/>
      <c r="S75" s="364"/>
      <c r="T75" s="364"/>
    </row>
    <row r="76" s="202" customFormat="1" ht="18" customHeight="1">
      <c r="A76" s="378">
        <v>63</v>
      </c>
      <c r="B76" s="380" t="s">
        <v>151</v>
      </c>
      <c r="C76" s="235" t="s">
        <v>90</v>
      </c>
      <c r="D76" s="235" t="s">
        <v>91</v>
      </c>
      <c r="E76" s="384">
        <v>20388</v>
      </c>
      <c r="F76" s="389">
        <v>10396.860000000001</v>
      </c>
      <c r="G76" s="382">
        <v>0.51000000000000001</v>
      </c>
      <c r="H76" s="384">
        <v>21733</v>
      </c>
      <c r="I76" s="375">
        <v>17621.849999999999</v>
      </c>
      <c r="J76" s="382">
        <v>0.81100000000000005</v>
      </c>
      <c r="K76" s="384">
        <v>22024</v>
      </c>
      <c r="L76" s="389">
        <v>21291.41</v>
      </c>
      <c r="M76" s="390">
        <v>0.96699999999999997</v>
      </c>
      <c r="N76" s="377">
        <f t="shared" si="1758"/>
        <v>9.4803419070796108e-003</v>
      </c>
      <c r="O76" s="364"/>
      <c r="P76" s="364"/>
      <c r="Q76" s="364"/>
      <c r="R76" s="364"/>
      <c r="S76" s="364"/>
      <c r="T76" s="364"/>
    </row>
    <row r="77" s="202" customFormat="1" ht="18" customHeight="1">
      <c r="A77" s="378">
        <v>64</v>
      </c>
      <c r="B77" s="380" t="s">
        <v>152</v>
      </c>
      <c r="C77" s="235" t="s">
        <v>90</v>
      </c>
      <c r="D77" s="235" t="s">
        <v>91</v>
      </c>
      <c r="E77" s="384">
        <v>13650.469999999999</v>
      </c>
      <c r="F77" s="389">
        <v>6874.6400000000003</v>
      </c>
      <c r="G77" s="382">
        <v>0.504</v>
      </c>
      <c r="H77" s="384">
        <v>14587.469999999999</v>
      </c>
      <c r="I77" s="375">
        <v>11821.48</v>
      </c>
      <c r="J77" s="382">
        <v>0.81000000000000005</v>
      </c>
      <c r="K77" s="384">
        <v>14822.469999999999</v>
      </c>
      <c r="L77" s="389">
        <v>14257.950000000001</v>
      </c>
      <c r="M77" s="390">
        <v>0.96199999999999997</v>
      </c>
      <c r="N77" s="377">
        <f t="shared" si="1758"/>
        <v>6.88219712094387e-003</v>
      </c>
      <c r="O77" s="364"/>
      <c r="P77" s="364"/>
      <c r="Q77" s="364"/>
      <c r="R77" s="364"/>
      <c r="S77" s="364"/>
      <c r="T77" s="364"/>
    </row>
    <row r="78" s="202" customFormat="1" ht="18" customHeight="1">
      <c r="A78" s="378">
        <v>65</v>
      </c>
      <c r="B78" s="380" t="s">
        <v>153</v>
      </c>
      <c r="C78" s="235" t="s">
        <v>90</v>
      </c>
      <c r="D78" s="235"/>
      <c r="E78" s="381">
        <v>8791</v>
      </c>
      <c r="F78" s="389">
        <v>4739.3800000000001</v>
      </c>
      <c r="G78" s="382">
        <v>0.53900000000000003</v>
      </c>
      <c r="H78" s="381">
        <v>9701</v>
      </c>
      <c r="I78" s="375">
        <v>7194.8900000000003</v>
      </c>
      <c r="J78" s="382">
        <v>0.74199999999999999</v>
      </c>
      <c r="K78" s="381">
        <v>9701</v>
      </c>
      <c r="L78" s="389">
        <v>9136.8700000000008</v>
      </c>
      <c r="M78" s="390">
        <v>0.94199999999999995</v>
      </c>
      <c r="N78" s="377">
        <f t="shared" si="1758"/>
        <v>4.9627188062707703e-003</v>
      </c>
      <c r="O78" s="364"/>
      <c r="P78" s="364"/>
      <c r="Q78" s="364"/>
      <c r="R78" s="364"/>
      <c r="S78" s="364"/>
      <c r="T78" s="364"/>
    </row>
    <row r="79" s="202" customFormat="1" ht="18" customHeight="1">
      <c r="A79" s="378">
        <v>66</v>
      </c>
      <c r="B79" s="380" t="s">
        <v>154</v>
      </c>
      <c r="C79" s="235" t="s">
        <v>90</v>
      </c>
      <c r="D79" s="235"/>
      <c r="E79" s="381">
        <v>6412</v>
      </c>
      <c r="F79" s="389">
        <v>3249.71</v>
      </c>
      <c r="G79" s="382">
        <v>0.50700000000000001</v>
      </c>
      <c r="H79" s="381">
        <v>7130</v>
      </c>
      <c r="I79" s="375">
        <v>5753.0500000000002</v>
      </c>
      <c r="J79" s="382">
        <v>0.80700000000000005</v>
      </c>
      <c r="K79" s="381">
        <v>7130</v>
      </c>
      <c r="L79" s="389">
        <v>6924.5299999999997</v>
      </c>
      <c r="M79" s="390">
        <v>0.97099999999999997</v>
      </c>
      <c r="N79" s="377">
        <f t="shared" si="1758"/>
        <v>4.1973680467494497e-003</v>
      </c>
      <c r="O79" s="364"/>
      <c r="P79" s="364"/>
      <c r="Q79" s="364"/>
      <c r="R79" s="364"/>
      <c r="S79" s="364"/>
      <c r="T79" s="364"/>
    </row>
    <row r="80" s="202" customFormat="1" ht="18" customHeight="1">
      <c r="A80" s="378">
        <v>67</v>
      </c>
      <c r="B80" s="380" t="s">
        <v>155</v>
      </c>
      <c r="C80" s="235" t="s">
        <v>93</v>
      </c>
      <c r="D80" s="235" t="s">
        <v>91</v>
      </c>
      <c r="E80" s="384">
        <v>19430.580000000002</v>
      </c>
      <c r="F80" s="389">
        <v>10945.84</v>
      </c>
      <c r="G80" s="382">
        <v>0.56299999999999994</v>
      </c>
      <c r="H80" s="384">
        <v>19962.580000000002</v>
      </c>
      <c r="I80" s="375">
        <v>16122.73</v>
      </c>
      <c r="J80" s="382">
        <v>0.80800000000000005</v>
      </c>
      <c r="K80" s="384">
        <v>20238.580000000002</v>
      </c>
      <c r="L80" s="389">
        <v>18631.540000000001</v>
      </c>
      <c r="M80" s="390">
        <v>0.92100000000000004</v>
      </c>
      <c r="N80" s="377">
        <f t="shared" si="1758"/>
        <v>8.4229372391856697e-003</v>
      </c>
      <c r="O80" s="364"/>
      <c r="P80" s="364"/>
      <c r="Q80" s="364"/>
      <c r="R80" s="364"/>
      <c r="S80" s="364"/>
      <c r="T80" s="364"/>
    </row>
    <row r="81" s="202" customFormat="1" ht="18" customHeight="1">
      <c r="A81" s="378">
        <v>68</v>
      </c>
      <c r="B81" s="380" t="s">
        <v>156</v>
      </c>
      <c r="C81" s="235" t="s">
        <v>90</v>
      </c>
      <c r="D81" s="235" t="s">
        <v>91</v>
      </c>
      <c r="E81" s="384">
        <v>16955.849999999999</v>
      </c>
      <c r="F81" s="389">
        <v>8746.1700000000001</v>
      </c>
      <c r="G81" s="382">
        <v>0.51600000000000001</v>
      </c>
      <c r="H81" s="384">
        <v>17419.849999999999</v>
      </c>
      <c r="I81" s="375">
        <v>14225.719999999999</v>
      </c>
      <c r="J81" s="382">
        <v>0.81699999999999995</v>
      </c>
      <c r="K81" s="384">
        <v>17828.849999999999</v>
      </c>
      <c r="L81" s="389">
        <v>15887.879999999999</v>
      </c>
      <c r="M81" s="390">
        <v>0.89100000000000001</v>
      </c>
      <c r="N81" s="377">
        <f t="shared" si="1758"/>
        <v>7.3618342816394802e-003</v>
      </c>
      <c r="O81" s="364"/>
      <c r="P81" s="364"/>
      <c r="Q81" s="364"/>
      <c r="R81" s="364"/>
      <c r="S81" s="364"/>
      <c r="T81" s="364"/>
    </row>
    <row r="82" s="202" customFormat="1" ht="18" customHeight="1">
      <c r="A82" s="378">
        <v>69</v>
      </c>
      <c r="B82" s="380" t="s">
        <v>157</v>
      </c>
      <c r="C82" s="235" t="s">
        <v>93</v>
      </c>
      <c r="D82" s="235" t="s">
        <v>1556</v>
      </c>
      <c r="E82" s="384">
        <v>43159.57</v>
      </c>
      <c r="F82" s="389">
        <v>21650.130000000001</v>
      </c>
      <c r="G82" s="382">
        <v>0.502</v>
      </c>
      <c r="H82" s="384">
        <v>47175.57</v>
      </c>
      <c r="I82" s="375">
        <v>37868.440000000002</v>
      </c>
      <c r="J82" s="382">
        <v>0.80300000000000005</v>
      </c>
      <c r="K82" s="384">
        <v>47660.57</v>
      </c>
      <c r="L82" s="389">
        <v>44624.209999999999</v>
      </c>
      <c r="M82" s="390">
        <v>0.93600000000000005</v>
      </c>
      <c r="N82" s="377">
        <f t="shared" si="1758"/>
        <v>1.8018670809811e-002</v>
      </c>
      <c r="O82" s="364"/>
      <c r="P82" s="364"/>
      <c r="Q82" s="364"/>
      <c r="R82" s="364"/>
      <c r="S82" s="364"/>
      <c r="T82" s="364"/>
    </row>
    <row r="83" s="202" customFormat="1" ht="18" customHeight="1">
      <c r="A83" s="378">
        <v>70</v>
      </c>
      <c r="B83" s="380" t="s">
        <v>158</v>
      </c>
      <c r="C83" s="235" t="s">
        <v>90</v>
      </c>
      <c r="D83" s="235" t="s">
        <v>91</v>
      </c>
      <c r="E83" s="384">
        <v>17448.400000000001</v>
      </c>
      <c r="F83" s="389">
        <v>9251.2299999999996</v>
      </c>
      <c r="G83" s="382">
        <v>0.53000000000000003</v>
      </c>
      <c r="H83" s="384">
        <v>18059.400000000001</v>
      </c>
      <c r="I83" s="375">
        <v>14468.040000000001</v>
      </c>
      <c r="J83" s="382">
        <v>0.80100000000000005</v>
      </c>
      <c r="K83" s="384">
        <v>18568.400000000001</v>
      </c>
      <c r="L83" s="389">
        <v>17833.27</v>
      </c>
      <c r="M83" s="390">
        <v>0.95999999999999996</v>
      </c>
      <c r="N83" s="377">
        <f t="shared" si="1758"/>
        <v>8.1952052173545394e-003</v>
      </c>
      <c r="O83" s="364"/>
      <c r="P83" s="364"/>
      <c r="Q83" s="364"/>
      <c r="R83" s="364"/>
      <c r="S83" s="364"/>
      <c r="T83" s="364"/>
    </row>
    <row r="84" s="202" customFormat="1" ht="18" customHeight="1">
      <c r="A84" s="365"/>
      <c r="B84" s="391" t="s">
        <v>387</v>
      </c>
      <c r="C84" s="366"/>
      <c r="D84" s="366"/>
      <c r="E84" s="392">
        <v>80238.399999999994</v>
      </c>
      <c r="F84" s="366">
        <f>SUM(F85:F93)</f>
        <v>41782.650000000001</v>
      </c>
      <c r="G84" s="393"/>
      <c r="H84" s="392">
        <v>100839.39999999999</v>
      </c>
      <c r="I84" s="366">
        <f>SUM(I85:I93)</f>
        <v>77123.949999999997</v>
      </c>
      <c r="J84" s="393"/>
      <c r="K84" s="366"/>
      <c r="L84" s="366"/>
      <c r="M84" s="366"/>
      <c r="N84" s="370"/>
      <c r="O84" s="364"/>
      <c r="P84" s="371"/>
      <c r="Q84" s="364"/>
      <c r="R84" s="364"/>
      <c r="S84" s="364"/>
    </row>
    <row r="85" s="202" customFormat="1" ht="18" customHeight="1">
      <c r="A85" s="372">
        <v>71</v>
      </c>
      <c r="B85" s="394" t="s">
        <v>223</v>
      </c>
      <c r="C85" s="374"/>
      <c r="D85" s="374"/>
      <c r="E85" s="381" t="s">
        <v>233</v>
      </c>
      <c r="F85" s="389"/>
      <c r="G85" s="382"/>
      <c r="H85" s="381" t="s">
        <v>233</v>
      </c>
      <c r="I85" s="375"/>
      <c r="J85" s="382"/>
      <c r="K85" s="381"/>
      <c r="L85" s="389"/>
      <c r="M85" s="395"/>
      <c r="N85" s="377">
        <f t="shared" si="1758"/>
        <v>0</v>
      </c>
      <c r="O85" s="364"/>
      <c r="P85" s="364"/>
      <c r="Q85" s="364"/>
      <c r="R85" s="364"/>
      <c r="S85" s="364"/>
      <c r="T85" s="364"/>
    </row>
    <row r="86" s="202" customFormat="1" ht="18" customHeight="1">
      <c r="A86" s="378">
        <v>72</v>
      </c>
      <c r="B86" s="380" t="s">
        <v>224</v>
      </c>
      <c r="C86" s="235" t="s">
        <v>90</v>
      </c>
      <c r="D86" s="235"/>
      <c r="E86" s="381">
        <v>5497</v>
      </c>
      <c r="F86" s="389">
        <v>2844.5700000000002</v>
      </c>
      <c r="G86" s="382">
        <v>0.51700000000000002</v>
      </c>
      <c r="H86" s="381">
        <v>6487</v>
      </c>
      <c r="I86" s="375">
        <v>5048.2200000000003</v>
      </c>
      <c r="J86" s="382">
        <v>0.77800000000000002</v>
      </c>
      <c r="K86" s="381">
        <v>6487</v>
      </c>
      <c r="L86" s="389">
        <v>6390.8400000000001</v>
      </c>
      <c r="M86" s="390">
        <v>0.98499999999999999</v>
      </c>
      <c r="N86" s="377">
        <f t="shared" si="1758"/>
        <v>4.02462637761326e-003</v>
      </c>
      <c r="O86" s="364"/>
      <c r="P86" s="364"/>
      <c r="Q86" s="364"/>
      <c r="R86" s="364"/>
      <c r="S86" s="364"/>
      <c r="T86" s="364"/>
    </row>
    <row r="87" s="202" customFormat="1" ht="18" customHeight="1">
      <c r="A87" s="378">
        <v>73</v>
      </c>
      <c r="B87" s="380" t="s">
        <v>225</v>
      </c>
      <c r="C87" s="235" t="s">
        <v>90</v>
      </c>
      <c r="D87" s="235" t="s">
        <v>91</v>
      </c>
      <c r="E87" s="381">
        <v>11820</v>
      </c>
      <c r="F87" s="389">
        <v>6540.6999999999998</v>
      </c>
      <c r="G87" s="382">
        <v>0.55300000000000005</v>
      </c>
      <c r="H87" s="381">
        <v>13146</v>
      </c>
      <c r="I87" s="375">
        <v>10218.719999999999</v>
      </c>
      <c r="J87" s="382">
        <v>0.77700000000000002</v>
      </c>
      <c r="K87" s="381">
        <v>16146</v>
      </c>
      <c r="L87" s="389">
        <v>15720.99</v>
      </c>
      <c r="M87" s="390">
        <v>0.97399999999999998</v>
      </c>
      <c r="N87" s="377">
        <f t="shared" si="1758"/>
        <v>7.4412402512724699e-003</v>
      </c>
      <c r="O87" s="364"/>
      <c r="P87" s="364"/>
      <c r="Q87" s="364"/>
      <c r="R87" s="364"/>
      <c r="S87" s="364"/>
      <c r="T87" s="364"/>
    </row>
    <row r="88" s="202" customFormat="1" ht="18" customHeight="1">
      <c r="A88" s="378">
        <v>74</v>
      </c>
      <c r="B88" s="380" t="s">
        <v>226</v>
      </c>
      <c r="C88" s="235" t="s">
        <v>90</v>
      </c>
      <c r="D88" s="235"/>
      <c r="E88" s="381">
        <v>4818</v>
      </c>
      <c r="F88" s="389">
        <v>2453.5599999999999</v>
      </c>
      <c r="G88" s="382">
        <v>0.50900000000000001</v>
      </c>
      <c r="H88" s="381">
        <v>6478</v>
      </c>
      <c r="I88" s="375">
        <v>5060.5600000000004</v>
      </c>
      <c r="J88" s="382">
        <v>0.78100000000000003</v>
      </c>
      <c r="K88" s="381">
        <v>6478</v>
      </c>
      <c r="L88" s="389">
        <v>6290.5600000000004</v>
      </c>
      <c r="M88" s="390">
        <v>0.97099999999999997</v>
      </c>
      <c r="N88" s="377">
        <f t="shared" si="1758"/>
        <v>3.9639457309076096e-003</v>
      </c>
      <c r="O88" s="364"/>
      <c r="P88" s="364"/>
      <c r="Q88" s="364"/>
      <c r="R88" s="364"/>
      <c r="S88" s="364"/>
      <c r="T88" s="364"/>
    </row>
    <row r="89" s="202" customFormat="1" ht="18" customHeight="1">
      <c r="A89" s="378">
        <v>75</v>
      </c>
      <c r="B89" s="380" t="s">
        <v>227</v>
      </c>
      <c r="C89" s="235" t="s">
        <v>90</v>
      </c>
      <c r="D89" s="235" t="s">
        <v>91</v>
      </c>
      <c r="E89" s="381">
        <v>9885</v>
      </c>
      <c r="F89" s="389">
        <v>5122.5299999999997</v>
      </c>
      <c r="G89" s="382">
        <v>0.51800000000000002</v>
      </c>
      <c r="H89" s="381">
        <v>10840</v>
      </c>
      <c r="I89" s="375">
        <v>7286.4099999999999</v>
      </c>
      <c r="J89" s="382">
        <v>0.67200000000000004</v>
      </c>
      <c r="K89" s="381">
        <v>10840</v>
      </c>
      <c r="L89" s="389">
        <v>10706.459999999999</v>
      </c>
      <c r="M89" s="390">
        <v>0.98799999999999999</v>
      </c>
      <c r="N89" s="377">
        <f t="shared" si="1758"/>
        <v>5.6186917305237703e-003</v>
      </c>
      <c r="O89" s="364"/>
      <c r="P89" s="364"/>
      <c r="Q89" s="364"/>
      <c r="R89" s="364"/>
      <c r="S89" s="364"/>
      <c r="T89" s="364"/>
    </row>
    <row r="90" s="202" customFormat="1" ht="18" customHeight="1">
      <c r="A90" s="378">
        <v>76</v>
      </c>
      <c r="B90" s="380" t="s">
        <v>228</v>
      </c>
      <c r="C90" s="235" t="s">
        <v>90</v>
      </c>
      <c r="D90" s="235"/>
      <c r="E90" s="384">
        <v>13019.15</v>
      </c>
      <c r="F90" s="389">
        <v>7124.6999999999998</v>
      </c>
      <c r="G90" s="382">
        <v>0.54700000000000004</v>
      </c>
      <c r="H90" s="384">
        <v>13985.15</v>
      </c>
      <c r="I90" s="375">
        <v>11445.1</v>
      </c>
      <c r="J90" s="382">
        <v>0.81799999999999995</v>
      </c>
      <c r="K90" s="384">
        <v>14218.15</v>
      </c>
      <c r="L90" s="389">
        <v>13911.139999999999</v>
      </c>
      <c r="M90" s="390">
        <v>0.97799999999999998</v>
      </c>
      <c r="N90" s="377">
        <f t="shared" si="1758"/>
        <v>6.78165712346204e-003</v>
      </c>
      <c r="O90" s="364"/>
      <c r="P90" s="364"/>
      <c r="Q90" s="364"/>
      <c r="R90" s="364"/>
      <c r="S90" s="364"/>
      <c r="T90" s="364"/>
    </row>
    <row r="91" s="202" customFormat="1" ht="18" customHeight="1">
      <c r="A91" s="378">
        <v>77</v>
      </c>
      <c r="B91" s="380" t="s">
        <v>229</v>
      </c>
      <c r="C91" s="235" t="s">
        <v>90</v>
      </c>
      <c r="D91" s="235"/>
      <c r="E91" s="381">
        <v>5049</v>
      </c>
      <c r="F91" s="389">
        <v>2563.46</v>
      </c>
      <c r="G91" s="382">
        <v>0.50800000000000001</v>
      </c>
      <c r="H91" s="381">
        <v>5832</v>
      </c>
      <c r="I91" s="375">
        <v>4393.9700000000003</v>
      </c>
      <c r="J91" s="382">
        <v>0.753</v>
      </c>
      <c r="K91" s="381">
        <v>5832</v>
      </c>
      <c r="L91" s="389">
        <v>5251.0600000000004</v>
      </c>
      <c r="M91" s="390">
        <v>0.90000000000000002</v>
      </c>
      <c r="N91" s="377">
        <f t="shared" si="1758"/>
        <v>3.4607216638200401e-003</v>
      </c>
      <c r="O91" s="364"/>
      <c r="P91" s="364"/>
      <c r="Q91" s="364"/>
      <c r="R91" s="364"/>
      <c r="S91" s="364"/>
      <c r="T91" s="364"/>
    </row>
    <row r="92" s="202" customFormat="1" ht="18" customHeight="1">
      <c r="A92" s="378">
        <v>78</v>
      </c>
      <c r="B92" s="380" t="s">
        <v>230</v>
      </c>
      <c r="C92" s="235" t="s">
        <v>90</v>
      </c>
      <c r="D92" s="235"/>
      <c r="E92" s="381">
        <v>8993.2000000000007</v>
      </c>
      <c r="F92" s="389">
        <v>4503.9099999999999</v>
      </c>
      <c r="G92" s="382">
        <v>0.501</v>
      </c>
      <c r="H92" s="381">
        <v>9640.2000000000007</v>
      </c>
      <c r="I92" s="375">
        <v>7772.1700000000001</v>
      </c>
      <c r="J92" s="382">
        <v>0.80600000000000005</v>
      </c>
      <c r="K92" s="381">
        <v>9840.2000000000007</v>
      </c>
      <c r="L92" s="389">
        <v>9351.1700000000001</v>
      </c>
      <c r="M92" s="390">
        <v>0.94999999999999996</v>
      </c>
      <c r="N92" s="377">
        <f t="shared" si="1758"/>
        <v>5.05519846281869e-003</v>
      </c>
      <c r="O92" s="364"/>
      <c r="P92" s="364"/>
      <c r="Q92" s="364"/>
      <c r="R92" s="364"/>
      <c r="S92" s="364"/>
      <c r="T92" s="364"/>
    </row>
    <row r="93" s="202" customFormat="1" ht="18" customHeight="1">
      <c r="A93" s="378">
        <v>79</v>
      </c>
      <c r="B93" s="380" t="s">
        <v>231</v>
      </c>
      <c r="C93" s="235" t="s">
        <v>90</v>
      </c>
      <c r="D93" s="235" t="s">
        <v>91</v>
      </c>
      <c r="E93" s="381">
        <v>21157.049999999999</v>
      </c>
      <c r="F93" s="389">
        <v>10629.219999999999</v>
      </c>
      <c r="G93" s="382">
        <v>0.502</v>
      </c>
      <c r="H93" s="381">
        <v>34431.050000000003</v>
      </c>
      <c r="I93" s="375">
        <v>25898.799999999999</v>
      </c>
      <c r="J93" s="382">
        <v>0.752</v>
      </c>
      <c r="K93" s="381">
        <v>34431.050000000003</v>
      </c>
      <c r="L93" s="389">
        <v>31785.360000000001</v>
      </c>
      <c r="M93" s="390">
        <v>0.92300000000000004</v>
      </c>
      <c r="N93" s="377">
        <f t="shared" si="1758"/>
        <v>1.32694549891754e-002</v>
      </c>
      <c r="O93" s="364"/>
      <c r="P93" s="364"/>
      <c r="Q93" s="364"/>
      <c r="R93" s="364"/>
      <c r="S93" s="364"/>
      <c r="T93" s="364"/>
    </row>
    <row r="94" s="202" customFormat="1" ht="18" customHeight="1">
      <c r="A94" s="365"/>
      <c r="B94" s="391" t="s">
        <v>459</v>
      </c>
      <c r="C94" s="366"/>
      <c r="D94" s="366"/>
      <c r="E94" s="392">
        <v>69753.5</v>
      </c>
      <c r="F94" s="366">
        <f>SUM(F95:F105)</f>
        <v>39841.980000000003</v>
      </c>
      <c r="G94" s="393"/>
      <c r="H94" s="392">
        <v>82499.5</v>
      </c>
      <c r="I94" s="366">
        <f>SUM(I95:I105)</f>
        <v>67910.940000000002</v>
      </c>
      <c r="J94" s="393"/>
      <c r="K94" s="366"/>
      <c r="L94" s="366"/>
      <c r="M94" s="366"/>
      <c r="N94" s="370"/>
      <c r="O94" s="364"/>
      <c r="P94" s="371"/>
      <c r="Q94" s="364"/>
      <c r="R94" s="364"/>
      <c r="S94" s="364"/>
    </row>
    <row r="95" s="202" customFormat="1" ht="18" customHeight="1">
      <c r="A95" s="372">
        <v>80</v>
      </c>
      <c r="B95" s="394" t="s">
        <v>165</v>
      </c>
      <c r="C95" s="374"/>
      <c r="D95" s="374"/>
      <c r="E95" s="381">
        <v>40</v>
      </c>
      <c r="F95" s="389"/>
      <c r="G95" s="382"/>
      <c r="H95" s="381">
        <v>40</v>
      </c>
      <c r="I95" s="375"/>
      <c r="J95" s="382"/>
      <c r="K95" s="381"/>
      <c r="L95" s="389"/>
      <c r="M95" s="395"/>
      <c r="N95" s="377">
        <f t="shared" si="1758"/>
        <v>0</v>
      </c>
      <c r="O95" s="364"/>
      <c r="P95" s="364"/>
      <c r="Q95" s="364"/>
      <c r="R95" s="364"/>
      <c r="S95" s="364"/>
      <c r="T95" s="364"/>
    </row>
    <row r="96" s="202" customFormat="1" ht="18" customHeight="1">
      <c r="A96" s="378">
        <v>81</v>
      </c>
      <c r="B96" s="380" t="s">
        <v>166</v>
      </c>
      <c r="C96" s="235" t="s">
        <v>78</v>
      </c>
      <c r="D96" s="235"/>
      <c r="E96" s="381">
        <v>3968</v>
      </c>
      <c r="F96" s="389">
        <v>2284.5</v>
      </c>
      <c r="G96" s="382">
        <v>0.57599999999999996</v>
      </c>
      <c r="H96" s="381">
        <v>5923</v>
      </c>
      <c r="I96" s="375">
        <v>4786.1800000000003</v>
      </c>
      <c r="J96" s="382">
        <v>0.80800000000000005</v>
      </c>
      <c r="K96" s="381">
        <v>5923</v>
      </c>
      <c r="L96" s="389">
        <v>5801.8800000000001</v>
      </c>
      <c r="M96" s="390">
        <v>0.97999999999999998</v>
      </c>
      <c r="N96" s="377">
        <f t="shared" si="1758"/>
        <v>3.7992912109276098e-003</v>
      </c>
      <c r="O96" s="364"/>
      <c r="P96" s="364"/>
      <c r="Q96" s="364"/>
      <c r="R96" s="364"/>
      <c r="S96" s="364"/>
      <c r="T96" s="364"/>
    </row>
    <row r="97" s="202" customFormat="1" ht="18" customHeight="1">
      <c r="A97" s="378">
        <v>82</v>
      </c>
      <c r="B97" s="380" t="s">
        <v>167</v>
      </c>
      <c r="C97" s="235" t="s">
        <v>90</v>
      </c>
      <c r="D97" s="235"/>
      <c r="E97" s="384">
        <v>6442</v>
      </c>
      <c r="F97" s="389">
        <v>2632.6100000000001</v>
      </c>
      <c r="G97" s="382">
        <v>0.40899999999999997</v>
      </c>
      <c r="H97" s="384">
        <v>7229</v>
      </c>
      <c r="I97" s="375">
        <v>6853.9200000000001</v>
      </c>
      <c r="J97" s="382">
        <v>0.94799999999999995</v>
      </c>
      <c r="K97" s="384">
        <v>7219</v>
      </c>
      <c r="L97" s="389">
        <v>6856.3199999999997</v>
      </c>
      <c r="M97" s="390">
        <v>0.94999999999999996</v>
      </c>
      <c r="N97" s="377">
        <f t="shared" si="1758"/>
        <v>4.1366160934983298e-003</v>
      </c>
      <c r="O97" s="364"/>
      <c r="P97" s="364"/>
      <c r="Q97" s="364"/>
      <c r="R97" s="364"/>
      <c r="S97" s="364"/>
      <c r="T97" s="364"/>
    </row>
    <row r="98" s="202" customFormat="1" ht="18" customHeight="1">
      <c r="A98" s="378">
        <v>83</v>
      </c>
      <c r="B98" s="380" t="s">
        <v>168</v>
      </c>
      <c r="C98" s="235" t="s">
        <v>90</v>
      </c>
      <c r="D98" s="235"/>
      <c r="E98" s="381">
        <v>4784</v>
      </c>
      <c r="F98" s="389">
        <v>3207.5999999999999</v>
      </c>
      <c r="G98" s="382">
        <v>0.67000000000000004</v>
      </c>
      <c r="H98" s="381">
        <v>5474</v>
      </c>
      <c r="I98" s="375">
        <v>4407.8000000000002</v>
      </c>
      <c r="J98" s="382">
        <v>0.80500000000000005</v>
      </c>
      <c r="K98" s="381">
        <v>5474</v>
      </c>
      <c r="L98" s="389">
        <v>5409.4200000000001</v>
      </c>
      <c r="M98" s="390">
        <v>0.98799999999999999</v>
      </c>
      <c r="N98" s="377">
        <f t="shared" si="1758"/>
        <v>3.6683670402278701e-003</v>
      </c>
      <c r="O98" s="364"/>
      <c r="P98" s="364"/>
      <c r="Q98" s="364"/>
      <c r="R98" s="364"/>
      <c r="S98" s="364"/>
      <c r="T98" s="364"/>
    </row>
    <row r="99" s="202" customFormat="1" ht="18" customHeight="1">
      <c r="A99" s="378">
        <v>84</v>
      </c>
      <c r="B99" s="380" t="s">
        <v>169</v>
      </c>
      <c r="C99" s="235" t="s">
        <v>90</v>
      </c>
      <c r="D99" s="235"/>
      <c r="E99" s="381">
        <v>5013</v>
      </c>
      <c r="F99" s="389">
        <v>3574.2800000000002</v>
      </c>
      <c r="G99" s="382">
        <v>0.71299999999999997</v>
      </c>
      <c r="H99" s="381">
        <v>5780</v>
      </c>
      <c r="I99" s="375">
        <v>4695.6099999999997</v>
      </c>
      <c r="J99" s="382">
        <v>0.81200000000000006</v>
      </c>
      <c r="K99" s="381">
        <v>5780</v>
      </c>
      <c r="L99" s="389">
        <v>5774.9300000000003</v>
      </c>
      <c r="M99" s="390">
        <v>0.999</v>
      </c>
      <c r="N99" s="377">
        <f t="shared" si="1758"/>
        <v>3.8216120097554901e-003</v>
      </c>
      <c r="O99" s="364"/>
      <c r="P99" s="364"/>
      <c r="Q99" s="364"/>
      <c r="R99" s="364"/>
      <c r="S99" s="364"/>
      <c r="T99" s="364"/>
    </row>
    <row r="100" s="202" customFormat="1" ht="18" customHeight="1">
      <c r="A100" s="378">
        <v>85</v>
      </c>
      <c r="B100" s="380" t="s">
        <v>170</v>
      </c>
      <c r="C100" s="235" t="s">
        <v>90</v>
      </c>
      <c r="D100" s="235"/>
      <c r="E100" s="381">
        <v>3685.3600000000001</v>
      </c>
      <c r="F100" s="389">
        <v>2356.52</v>
      </c>
      <c r="G100" s="382">
        <v>0.63900000000000001</v>
      </c>
      <c r="H100" s="381">
        <v>4405.3599999999997</v>
      </c>
      <c r="I100" s="375">
        <v>3659.3099999999999</v>
      </c>
      <c r="J100" s="382">
        <v>0.83099999999999996</v>
      </c>
      <c r="K100" s="381">
        <v>4655.3599999999997</v>
      </c>
      <c r="L100" s="389">
        <v>4532.4399999999996</v>
      </c>
      <c r="M100" s="390">
        <v>0.97399999999999998</v>
      </c>
      <c r="N100" s="377">
        <f t="shared" si="1758"/>
        <v>3.3217121160100901e-003</v>
      </c>
      <c r="O100" s="364"/>
      <c r="P100" s="364"/>
      <c r="Q100" s="364"/>
      <c r="R100" s="364"/>
      <c r="S100" s="364"/>
      <c r="T100" s="364"/>
    </row>
    <row r="101" s="202" customFormat="1" ht="18" customHeight="1">
      <c r="A101" s="378">
        <v>86</v>
      </c>
      <c r="B101" s="380" t="s">
        <v>171</v>
      </c>
      <c r="C101" s="235" t="s">
        <v>90</v>
      </c>
      <c r="D101" s="235"/>
      <c r="E101" s="381">
        <v>6904</v>
      </c>
      <c r="F101" s="389">
        <v>3605.9099999999999</v>
      </c>
      <c r="G101" s="382">
        <v>0.52200000000000002</v>
      </c>
      <c r="H101" s="381">
        <v>8714</v>
      </c>
      <c r="I101" s="375">
        <v>7079.9899999999998</v>
      </c>
      <c r="J101" s="382">
        <v>0.81200000000000006</v>
      </c>
      <c r="K101" s="381">
        <v>8954</v>
      </c>
      <c r="L101" s="389">
        <v>7845.25</v>
      </c>
      <c r="M101" s="390">
        <v>0.876</v>
      </c>
      <c r="N101" s="377">
        <f t="shared" si="1758"/>
        <v>4.3751514646046602e-003</v>
      </c>
      <c r="O101" s="364"/>
      <c r="P101" s="364"/>
      <c r="Q101" s="364"/>
      <c r="R101" s="364"/>
      <c r="S101" s="364"/>
      <c r="T101" s="364"/>
    </row>
    <row r="102" s="202" customFormat="1" ht="18" customHeight="1">
      <c r="A102" s="378">
        <v>87</v>
      </c>
      <c r="B102" s="380" t="s">
        <v>172</v>
      </c>
      <c r="C102" s="235" t="s">
        <v>90</v>
      </c>
      <c r="D102" s="235"/>
      <c r="E102" s="381">
        <v>6155</v>
      </c>
      <c r="F102" s="389">
        <v>4089.0500000000002</v>
      </c>
      <c r="G102" s="382">
        <v>0.66400000000000003</v>
      </c>
      <c r="H102" s="381">
        <v>6735</v>
      </c>
      <c r="I102" s="375">
        <v>5295.54</v>
      </c>
      <c r="J102" s="382">
        <v>0.78600000000000003</v>
      </c>
      <c r="K102" s="381">
        <v>6735</v>
      </c>
      <c r="L102" s="389">
        <v>6472.0100000000002</v>
      </c>
      <c r="M102" s="390">
        <v>0.96099999999999997</v>
      </c>
      <c r="N102" s="377">
        <f t="shared" si="1758"/>
        <v>4.0137837709387303e-003</v>
      </c>
      <c r="O102" s="364"/>
      <c r="P102" s="364"/>
      <c r="Q102" s="364"/>
      <c r="R102" s="364"/>
      <c r="S102" s="364"/>
      <c r="T102" s="364"/>
    </row>
    <row r="103" s="202" customFormat="1" ht="18" customHeight="1">
      <c r="A103" s="378">
        <v>88</v>
      </c>
      <c r="B103" s="380" t="s">
        <v>173</v>
      </c>
      <c r="C103" s="235" t="s">
        <v>78</v>
      </c>
      <c r="D103" s="235"/>
      <c r="E103" s="381">
        <v>4106.8100000000004</v>
      </c>
      <c r="F103" s="389">
        <v>2720.1700000000001</v>
      </c>
      <c r="G103" s="382">
        <v>0.66200000000000003</v>
      </c>
      <c r="H103" s="381">
        <v>5390.8100000000004</v>
      </c>
      <c r="I103" s="375">
        <v>4476.4300000000003</v>
      </c>
      <c r="J103" s="382">
        <v>0.82999999999999996</v>
      </c>
      <c r="K103" s="381">
        <v>5390.8100000000004</v>
      </c>
      <c r="L103" s="389">
        <v>5320.8299999999999</v>
      </c>
      <c r="M103" s="390">
        <v>0.98699999999999999</v>
      </c>
      <c r="N103" s="377">
        <f t="shared" si="1758"/>
        <v>3.63405193279767e-003</v>
      </c>
      <c r="O103" s="364"/>
      <c r="P103" s="364"/>
      <c r="Q103" s="364"/>
      <c r="R103" s="364"/>
      <c r="S103" s="364"/>
      <c r="T103" s="364"/>
    </row>
    <row r="104" s="202" customFormat="1" ht="18" customHeight="1">
      <c r="A104" s="378">
        <v>89</v>
      </c>
      <c r="B104" s="380" t="s">
        <v>174</v>
      </c>
      <c r="C104" s="235" t="s">
        <v>93</v>
      </c>
      <c r="D104" s="235" t="s">
        <v>1556</v>
      </c>
      <c r="E104" s="384">
        <v>24469.52</v>
      </c>
      <c r="F104" s="389">
        <v>12762.24</v>
      </c>
      <c r="G104" s="382">
        <v>0.52200000000000002</v>
      </c>
      <c r="H104" s="384">
        <v>27791.52</v>
      </c>
      <c r="I104" s="375">
        <v>22608.950000000001</v>
      </c>
      <c r="J104" s="382">
        <v>0.81399999999999995</v>
      </c>
      <c r="K104" s="384">
        <v>28063.52</v>
      </c>
      <c r="L104" s="389">
        <v>24284.439999999999</v>
      </c>
      <c r="M104" s="390">
        <v>0.86499999999999999</v>
      </c>
      <c r="N104" s="377">
        <f t="shared" si="1758"/>
        <v>1.04092528853281e-002</v>
      </c>
      <c r="O104" s="364"/>
      <c r="P104" s="364"/>
      <c r="Q104" s="364"/>
      <c r="R104" s="364"/>
      <c r="S104" s="364"/>
      <c r="T104" s="364"/>
    </row>
    <row r="105" s="202" customFormat="1" ht="18" customHeight="1">
      <c r="A105" s="378">
        <v>90</v>
      </c>
      <c r="B105" s="380" t="s">
        <v>175</v>
      </c>
      <c r="C105" s="235" t="s">
        <v>78</v>
      </c>
      <c r="D105" s="235"/>
      <c r="E105" s="381">
        <v>4185.8100000000004</v>
      </c>
      <c r="F105" s="389">
        <v>2609.0999999999999</v>
      </c>
      <c r="G105" s="382">
        <v>0.623</v>
      </c>
      <c r="H105" s="381">
        <v>5016.8100000000004</v>
      </c>
      <c r="I105" s="375">
        <v>4047.21</v>
      </c>
      <c r="J105" s="382">
        <v>0.80700000000000005</v>
      </c>
      <c r="K105" s="381">
        <v>5016.8100000000004</v>
      </c>
      <c r="L105" s="389">
        <v>5016.8100000000004</v>
      </c>
      <c r="M105" s="390">
        <v>1</v>
      </c>
      <c r="N105" s="377">
        <f t="shared" si="1758"/>
        <v>3.5441757582153201e-003</v>
      </c>
      <c r="O105" s="364"/>
      <c r="P105" s="364"/>
      <c r="Q105" s="364"/>
      <c r="R105" s="364"/>
      <c r="S105" s="364"/>
      <c r="T105" s="364"/>
    </row>
    <row r="106" s="202" customFormat="1" ht="18" customHeight="1">
      <c r="A106" s="365"/>
      <c r="B106" s="391" t="s">
        <v>380</v>
      </c>
      <c r="C106" s="366"/>
      <c r="D106" s="366"/>
      <c r="E106" s="392">
        <v>183248.89999999999</v>
      </c>
      <c r="F106" s="366">
        <f>SUM(F107:F120)</f>
        <v>98225.220000000001</v>
      </c>
      <c r="G106" s="393"/>
      <c r="H106" s="392">
        <v>216381.89999999999</v>
      </c>
      <c r="I106" s="366">
        <f>SUM(I107:I120)</f>
        <v>156336.06</v>
      </c>
      <c r="J106" s="393"/>
      <c r="K106" s="366"/>
      <c r="L106" s="366"/>
      <c r="M106" s="366"/>
      <c r="N106" s="370"/>
      <c r="O106" s="364"/>
      <c r="P106" s="371"/>
      <c r="Q106" s="364"/>
      <c r="R106" s="364"/>
      <c r="S106" s="364"/>
    </row>
    <row r="107" s="202" customFormat="1" ht="18" customHeight="1">
      <c r="A107" s="372">
        <v>91</v>
      </c>
      <c r="B107" s="394" t="s">
        <v>122</v>
      </c>
      <c r="C107" s="374"/>
      <c r="D107" s="374"/>
      <c r="E107" s="381">
        <v>163</v>
      </c>
      <c r="F107" s="389"/>
      <c r="G107" s="382"/>
      <c r="H107" s="381">
        <v>163</v>
      </c>
      <c r="I107" s="375"/>
      <c r="J107" s="382"/>
      <c r="K107" s="381"/>
      <c r="L107" s="389"/>
      <c r="M107" s="395"/>
      <c r="N107" s="377">
        <f t="shared" si="1758"/>
        <v>0</v>
      </c>
      <c r="O107" s="364"/>
      <c r="P107" s="364"/>
      <c r="Q107" s="364"/>
      <c r="R107" s="364"/>
      <c r="S107" s="364"/>
      <c r="T107" s="364"/>
    </row>
    <row r="108" s="202" customFormat="1" ht="18" customHeight="1">
      <c r="A108" s="378">
        <v>92</v>
      </c>
      <c r="B108" s="380" t="s">
        <v>123</v>
      </c>
      <c r="C108" s="235" t="s">
        <v>78</v>
      </c>
      <c r="D108" s="235"/>
      <c r="E108" s="381">
        <v>2844</v>
      </c>
      <c r="F108" s="389">
        <v>2021.9200000000001</v>
      </c>
      <c r="G108" s="382">
        <v>0.71099999999999997</v>
      </c>
      <c r="H108" s="381">
        <v>4059</v>
      </c>
      <c r="I108" s="375">
        <v>2915.5599999999999</v>
      </c>
      <c r="J108" s="382">
        <v>0.71799999999999997</v>
      </c>
      <c r="K108" s="381">
        <v>4059</v>
      </c>
      <c r="L108" s="389">
        <v>3984.0700000000002</v>
      </c>
      <c r="M108" s="390">
        <v>0.98199999999999998</v>
      </c>
      <c r="N108" s="377">
        <f t="shared" si="1758"/>
        <v>3.1333832206973601e-003</v>
      </c>
      <c r="O108" s="364"/>
      <c r="P108" s="364"/>
      <c r="Q108" s="364"/>
      <c r="R108" s="364"/>
      <c r="S108" s="364"/>
      <c r="T108" s="364"/>
    </row>
    <row r="109" s="202" customFormat="1" ht="18" customHeight="1">
      <c r="A109" s="378">
        <v>93</v>
      </c>
      <c r="B109" s="380" t="s">
        <v>124</v>
      </c>
      <c r="C109" s="235" t="s">
        <v>78</v>
      </c>
      <c r="D109" s="235"/>
      <c r="E109" s="381">
        <v>2868</v>
      </c>
      <c r="F109" s="389">
        <v>1895.0999999999999</v>
      </c>
      <c r="G109" s="382">
        <v>0.66100000000000003</v>
      </c>
      <c r="H109" s="381">
        <v>3716</v>
      </c>
      <c r="I109" s="375">
        <v>2849.9099999999999</v>
      </c>
      <c r="J109" s="382">
        <v>0.76700000000000002</v>
      </c>
      <c r="K109" s="381">
        <v>3716</v>
      </c>
      <c r="L109" s="389">
        <v>3712.5799999999999</v>
      </c>
      <c r="M109" s="390">
        <v>0.999</v>
      </c>
      <c r="N109" s="377">
        <f t="shared" si="1758"/>
        <v>3.0622724304750302e-003</v>
      </c>
      <c r="O109" s="364"/>
      <c r="P109" s="364"/>
      <c r="Q109" s="364"/>
      <c r="R109" s="364"/>
      <c r="S109" s="364"/>
      <c r="T109" s="364"/>
    </row>
    <row r="110" s="202" customFormat="1" ht="18" customHeight="1">
      <c r="A110" s="378">
        <v>94</v>
      </c>
      <c r="B110" s="380" t="s">
        <v>125</v>
      </c>
      <c r="C110" s="235" t="s">
        <v>78</v>
      </c>
      <c r="D110" s="235"/>
      <c r="E110" s="384">
        <v>5264.3000000000002</v>
      </c>
      <c r="F110" s="389">
        <v>3191.8099999999999</v>
      </c>
      <c r="G110" s="382">
        <v>0.60599999999999998</v>
      </c>
      <c r="H110" s="384">
        <v>7261.3000000000002</v>
      </c>
      <c r="I110" s="375">
        <v>6240.1700000000001</v>
      </c>
      <c r="J110" s="382">
        <v>0.85899999999999999</v>
      </c>
      <c r="K110" s="384">
        <v>7261.3000000000002</v>
      </c>
      <c r="L110" s="389">
        <v>6929.79</v>
      </c>
      <c r="M110" s="390">
        <v>0.95399999999999996</v>
      </c>
      <c r="N110" s="377">
        <f t="shared" si="1758"/>
        <v>4.1704552346773904e-003</v>
      </c>
      <c r="O110" s="364"/>
      <c r="P110" s="364"/>
      <c r="Q110" s="364"/>
      <c r="R110" s="364"/>
      <c r="S110" s="364"/>
      <c r="T110" s="364"/>
    </row>
    <row r="111" s="202" customFormat="1" ht="18" customHeight="1">
      <c r="A111" s="378">
        <v>95</v>
      </c>
      <c r="B111" s="380" t="s">
        <v>129</v>
      </c>
      <c r="C111" s="235" t="s">
        <v>78</v>
      </c>
      <c r="D111" s="235"/>
      <c r="E111" s="384">
        <v>4074</v>
      </c>
      <c r="F111" s="389">
        <v>2568.8899999999999</v>
      </c>
      <c r="G111" s="382">
        <v>0.63100000000000001</v>
      </c>
      <c r="H111" s="384">
        <v>5225</v>
      </c>
      <c r="I111" s="375">
        <v>4735.5600000000004</v>
      </c>
      <c r="J111" s="382">
        <v>0.90600000000000003</v>
      </c>
      <c r="K111" s="384">
        <v>5225</v>
      </c>
      <c r="L111" s="389">
        <v>5197.9099999999999</v>
      </c>
      <c r="M111" s="390">
        <v>0.995</v>
      </c>
      <c r="N111" s="377">
        <f t="shared" si="1758"/>
        <v>3.6023700779993298e-003</v>
      </c>
      <c r="O111" s="364"/>
      <c r="P111" s="364"/>
      <c r="Q111" s="364"/>
      <c r="R111" s="364"/>
      <c r="S111" s="364"/>
      <c r="T111" s="364"/>
    </row>
    <row r="112" s="202" customFormat="1" ht="18" customHeight="1">
      <c r="A112" s="378">
        <v>96</v>
      </c>
      <c r="B112" s="380" t="s">
        <v>126</v>
      </c>
      <c r="C112" s="235" t="s">
        <v>90</v>
      </c>
      <c r="D112" s="235" t="s">
        <v>91</v>
      </c>
      <c r="E112" s="384">
        <v>24877.299999999999</v>
      </c>
      <c r="F112" s="389">
        <v>12921.719999999999</v>
      </c>
      <c r="G112" s="382">
        <v>0.51900000000000002</v>
      </c>
      <c r="H112" s="384">
        <v>25779.299999999999</v>
      </c>
      <c r="I112" s="375">
        <v>20780.34</v>
      </c>
      <c r="J112" s="382">
        <v>0.80600000000000005</v>
      </c>
      <c r="K112" s="384">
        <v>26100.299999999999</v>
      </c>
      <c r="L112" s="389">
        <v>24564.709999999999</v>
      </c>
      <c r="M112" s="390">
        <v>0.94099999999999995</v>
      </c>
      <c r="N112" s="377">
        <f t="shared" si="1758"/>
        <v>1.06414201257975e-002</v>
      </c>
      <c r="O112" s="364"/>
      <c r="P112" s="364"/>
      <c r="Q112" s="364"/>
      <c r="R112" s="364"/>
      <c r="S112" s="364"/>
      <c r="T112" s="364"/>
    </row>
    <row r="113" s="202" customFormat="1" ht="18" customHeight="1">
      <c r="A113" s="378">
        <v>97</v>
      </c>
      <c r="B113" s="380" t="s">
        <v>127</v>
      </c>
      <c r="C113" s="235" t="s">
        <v>78</v>
      </c>
      <c r="D113" s="235"/>
      <c r="E113" s="381">
        <v>4165.5</v>
      </c>
      <c r="F113" s="389">
        <v>2144.1799999999998</v>
      </c>
      <c r="G113" s="382">
        <v>0.51500000000000001</v>
      </c>
      <c r="H113" s="381">
        <v>5419.5</v>
      </c>
      <c r="I113" s="375">
        <v>2727.9699999999998</v>
      </c>
      <c r="J113" s="382">
        <v>0.503</v>
      </c>
      <c r="K113" s="381">
        <v>5406.5</v>
      </c>
      <c r="L113" s="389">
        <v>3455.6799999999998</v>
      </c>
      <c r="M113" s="390">
        <v>0.63900000000000001</v>
      </c>
      <c r="N113" s="377">
        <f t="shared" si="1758"/>
        <v>2.3567534881043001e-003</v>
      </c>
      <c r="O113" s="364"/>
      <c r="P113" s="364"/>
      <c r="Q113" s="364"/>
      <c r="R113" s="364"/>
      <c r="S113" s="364"/>
      <c r="T113" s="364"/>
    </row>
    <row r="114" s="202" customFormat="1" ht="18" customHeight="1">
      <c r="A114" s="378">
        <v>98</v>
      </c>
      <c r="B114" s="380" t="s">
        <v>128</v>
      </c>
      <c r="C114" s="235" t="s">
        <v>90</v>
      </c>
      <c r="D114" s="235"/>
      <c r="E114" s="381">
        <v>4378</v>
      </c>
      <c r="F114" s="389">
        <v>2380.6799999999998</v>
      </c>
      <c r="G114" s="382">
        <v>0.54400000000000004</v>
      </c>
      <c r="H114" s="381">
        <v>4887</v>
      </c>
      <c r="I114" s="375">
        <v>3415.4200000000001</v>
      </c>
      <c r="J114" s="382">
        <v>0.69899999999999995</v>
      </c>
      <c r="K114" s="381">
        <v>5137</v>
      </c>
      <c r="L114" s="389">
        <v>4639.2600000000002</v>
      </c>
      <c r="M114" s="390">
        <v>0.90300000000000002</v>
      </c>
      <c r="N114" s="377">
        <f t="shared" si="1758"/>
        <v>3.24055323985558e-003</v>
      </c>
      <c r="O114" s="364"/>
      <c r="P114" s="364"/>
      <c r="Q114" s="364"/>
      <c r="R114" s="364"/>
      <c r="S114" s="364"/>
      <c r="T114" s="364"/>
    </row>
    <row r="115" s="202" customFormat="1" ht="18" customHeight="1">
      <c r="A115" s="378">
        <v>99</v>
      </c>
      <c r="B115" s="380" t="s">
        <v>130</v>
      </c>
      <c r="C115" s="235" t="s">
        <v>90</v>
      </c>
      <c r="D115" s="235"/>
      <c r="E115" s="381">
        <v>6115</v>
      </c>
      <c r="F115" s="389">
        <v>3138.0999999999999</v>
      </c>
      <c r="G115" s="382">
        <v>0.51300000000000001</v>
      </c>
      <c r="H115" s="381">
        <v>7091</v>
      </c>
      <c r="I115" s="375">
        <v>3504.0599999999999</v>
      </c>
      <c r="J115" s="382">
        <v>0.49399999999999999</v>
      </c>
      <c r="K115" s="381">
        <v>7014</v>
      </c>
      <c r="L115" s="389">
        <v>3504.0599999999999</v>
      </c>
      <c r="M115" s="390">
        <v>0.5</v>
      </c>
      <c r="N115" s="377">
        <f t="shared" si="1758"/>
        <v>2.1386795094363998e-003</v>
      </c>
      <c r="O115" s="364"/>
      <c r="P115" s="364"/>
      <c r="Q115" s="364"/>
      <c r="R115" s="364"/>
      <c r="S115" s="364"/>
      <c r="T115" s="364"/>
    </row>
    <row r="116" s="202" customFormat="1" ht="18" customHeight="1">
      <c r="A116" s="378">
        <v>100</v>
      </c>
      <c r="B116" s="380" t="s">
        <v>131</v>
      </c>
      <c r="C116" s="235" t="s">
        <v>93</v>
      </c>
      <c r="D116" s="235" t="s">
        <v>1556</v>
      </c>
      <c r="E116" s="381">
        <v>34219.5</v>
      </c>
      <c r="F116" s="389">
        <v>18417.169999999998</v>
      </c>
      <c r="G116" s="382">
        <v>0.53800000000000003</v>
      </c>
      <c r="H116" s="381">
        <v>38125.5</v>
      </c>
      <c r="I116" s="375">
        <v>29663.25</v>
      </c>
      <c r="J116" s="382">
        <v>0.77800000000000002</v>
      </c>
      <c r="K116" s="381">
        <v>38125.5</v>
      </c>
      <c r="L116" s="389">
        <v>35498.18</v>
      </c>
      <c r="M116" s="390">
        <v>0.93100000000000005</v>
      </c>
      <c r="N116" s="377">
        <f t="shared" si="1758"/>
        <v>1.46500596996202e-002</v>
      </c>
      <c r="O116" s="364"/>
      <c r="P116" s="364"/>
      <c r="Q116" s="364"/>
      <c r="R116" s="364"/>
      <c r="S116" s="364"/>
      <c r="T116" s="364"/>
    </row>
    <row r="117" s="202" customFormat="1" ht="18" customHeight="1">
      <c r="A117" s="378">
        <v>101</v>
      </c>
      <c r="B117" s="380" t="s">
        <v>132</v>
      </c>
      <c r="C117" s="235" t="s">
        <v>93</v>
      </c>
      <c r="D117" s="235" t="s">
        <v>1556</v>
      </c>
      <c r="E117" s="381">
        <v>28702.799999999999</v>
      </c>
      <c r="F117" s="389">
        <v>15074.780000000001</v>
      </c>
      <c r="G117" s="382">
        <v>0.52500000000000002</v>
      </c>
      <c r="H117" s="381">
        <v>32137.799999999999</v>
      </c>
      <c r="I117" s="375">
        <v>23513.32</v>
      </c>
      <c r="J117" s="382">
        <v>0.73199999999999998</v>
      </c>
      <c r="K117" s="381">
        <v>32137.799999999999</v>
      </c>
      <c r="L117" s="389">
        <v>28171.560000000001</v>
      </c>
      <c r="M117" s="390">
        <v>0.877</v>
      </c>
      <c r="N117" s="377">
        <f t="shared" si="1758"/>
        <v>1.1860821478038099e-002</v>
      </c>
      <c r="O117" s="364"/>
      <c r="P117" s="364"/>
      <c r="Q117" s="364"/>
      <c r="R117" s="364"/>
      <c r="S117" s="364"/>
      <c r="T117" s="364"/>
    </row>
    <row r="118" s="202" customFormat="1" ht="18" customHeight="1">
      <c r="A118" s="378">
        <v>102</v>
      </c>
      <c r="B118" s="380" t="s">
        <v>133</v>
      </c>
      <c r="C118" s="235" t="s">
        <v>93</v>
      </c>
      <c r="D118" s="235" t="s">
        <v>1556</v>
      </c>
      <c r="E118" s="381">
        <v>27674.150000000001</v>
      </c>
      <c r="F118" s="389">
        <v>14717.219999999999</v>
      </c>
      <c r="G118" s="382">
        <v>0.53200000000000003</v>
      </c>
      <c r="H118" s="381">
        <v>31129.150000000001</v>
      </c>
      <c r="I118" s="375">
        <v>20153.939999999999</v>
      </c>
      <c r="J118" s="382">
        <v>0.64700000000000002</v>
      </c>
      <c r="K118" s="381">
        <v>31129.150000000001</v>
      </c>
      <c r="L118" s="389">
        <v>28416.869999999999</v>
      </c>
      <c r="M118" s="390">
        <v>0.91300000000000003</v>
      </c>
      <c r="N118" s="377">
        <f t="shared" si="1758"/>
        <v>1.2012235572387399e-002</v>
      </c>
      <c r="O118" s="364"/>
      <c r="P118" s="364"/>
      <c r="Q118" s="364"/>
      <c r="R118" s="364"/>
      <c r="S118" s="364"/>
      <c r="T118" s="364"/>
    </row>
    <row r="119" s="202" customFormat="1" ht="18" customHeight="1">
      <c r="A119" s="378">
        <v>103</v>
      </c>
      <c r="B119" s="380" t="s">
        <v>134</v>
      </c>
      <c r="C119" s="235" t="s">
        <v>93</v>
      </c>
      <c r="D119" s="235" t="s">
        <v>1556</v>
      </c>
      <c r="E119" s="381">
        <v>26728.700000000001</v>
      </c>
      <c r="F119" s="389">
        <v>13403.209999999999</v>
      </c>
      <c r="G119" s="382">
        <v>0.501</v>
      </c>
      <c r="H119" s="381">
        <v>29934.700000000001</v>
      </c>
      <c r="I119" s="375">
        <v>20944.32</v>
      </c>
      <c r="J119" s="382">
        <v>0.69999999999999996</v>
      </c>
      <c r="K119" s="381">
        <v>29934.700000000001</v>
      </c>
      <c r="L119" s="389">
        <v>26399.990000000002</v>
      </c>
      <c r="M119" s="390">
        <v>0.88200000000000001</v>
      </c>
      <c r="N119" s="377">
        <f t="shared" si="1758"/>
        <v>1.12170297472141e-002</v>
      </c>
      <c r="O119" s="364"/>
      <c r="P119" s="364"/>
      <c r="Q119" s="364"/>
      <c r="R119" s="364"/>
      <c r="S119" s="364"/>
      <c r="T119" s="364"/>
    </row>
    <row r="120" s="202" customFormat="1" ht="18" customHeight="1">
      <c r="A120" s="378">
        <v>104</v>
      </c>
      <c r="B120" s="380" t="s">
        <v>135</v>
      </c>
      <c r="C120" s="235" t="s">
        <v>78</v>
      </c>
      <c r="D120" s="235"/>
      <c r="E120" s="381">
        <v>11174.65</v>
      </c>
      <c r="F120" s="389">
        <v>6350.4399999999996</v>
      </c>
      <c r="G120" s="382">
        <v>0.56799999999999995</v>
      </c>
      <c r="H120" s="381">
        <v>21453.650000000001</v>
      </c>
      <c r="I120" s="375">
        <v>14892.24</v>
      </c>
      <c r="J120" s="382">
        <v>0.69399999999999995</v>
      </c>
      <c r="K120" s="381">
        <v>21453.650000000001</v>
      </c>
      <c r="L120" s="389">
        <v>15263.73</v>
      </c>
      <c r="M120" s="390">
        <v>0.71099999999999997</v>
      </c>
      <c r="N120" s="377">
        <f t="shared" si="1758"/>
        <v>6.8265623225401703e-003</v>
      </c>
      <c r="O120" s="364"/>
      <c r="P120" s="364"/>
      <c r="Q120" s="364"/>
      <c r="R120" s="364"/>
      <c r="S120" s="364"/>
      <c r="T120" s="364"/>
    </row>
    <row r="121" s="202" customFormat="1" ht="18" customHeight="1">
      <c r="A121" s="365"/>
      <c r="B121" s="391" t="s">
        <v>381</v>
      </c>
      <c r="C121" s="366"/>
      <c r="D121" s="366"/>
      <c r="E121" s="392">
        <v>152573.20000000001</v>
      </c>
      <c r="F121" s="366">
        <f>SUM(F122:F130)</f>
        <v>75156.479999999996</v>
      </c>
      <c r="G121" s="393"/>
      <c r="H121" s="392">
        <v>179527.20000000001</v>
      </c>
      <c r="I121" s="366">
        <f>SUM(I122:I130)</f>
        <v>121500.48</v>
      </c>
      <c r="J121" s="393"/>
      <c r="K121" s="366"/>
      <c r="L121" s="366"/>
      <c r="M121" s="366"/>
      <c r="N121" s="370"/>
      <c r="O121" s="364"/>
      <c r="P121" s="371"/>
      <c r="Q121" s="364"/>
      <c r="R121" s="364"/>
      <c r="S121" s="364"/>
    </row>
    <row r="122" s="202" customFormat="1" ht="18" customHeight="1">
      <c r="A122" s="372">
        <v>105</v>
      </c>
      <c r="B122" s="394" t="s">
        <v>137</v>
      </c>
      <c r="C122" s="374"/>
      <c r="D122" s="374"/>
      <c r="E122" s="381">
        <v>70</v>
      </c>
      <c r="F122" s="389"/>
      <c r="G122" s="382"/>
      <c r="H122" s="381">
        <v>70</v>
      </c>
      <c r="I122" s="375"/>
      <c r="J122" s="382"/>
      <c r="K122" s="381"/>
      <c r="L122" s="389"/>
      <c r="M122" s="395"/>
      <c r="N122" s="377">
        <f t="shared" si="1758"/>
        <v>0</v>
      </c>
      <c r="O122" s="364"/>
      <c r="P122" s="364"/>
      <c r="Q122" s="364"/>
      <c r="R122" s="364"/>
      <c r="S122" s="364"/>
      <c r="T122" s="364"/>
    </row>
    <row r="123" s="202" customFormat="1" ht="18" customHeight="1">
      <c r="A123" s="378">
        <v>106</v>
      </c>
      <c r="B123" s="380" t="s">
        <v>138</v>
      </c>
      <c r="C123" s="235" t="s">
        <v>90</v>
      </c>
      <c r="D123" s="235"/>
      <c r="E123" s="381">
        <v>7752.9399999999996</v>
      </c>
      <c r="F123" s="389">
        <v>2111.1900000000001</v>
      </c>
      <c r="G123" s="382">
        <v>0.27200000000000002</v>
      </c>
      <c r="H123" s="381">
        <v>15474.940000000001</v>
      </c>
      <c r="I123" s="375">
        <v>5106.2700000000004</v>
      </c>
      <c r="J123" s="382">
        <v>0.33000000000000002</v>
      </c>
      <c r="K123" s="381">
        <v>14264.940000000001</v>
      </c>
      <c r="L123" s="389">
        <v>12899.48</v>
      </c>
      <c r="M123" s="390">
        <v>0.90400000000000003</v>
      </c>
      <c r="N123" s="377">
        <f t="shared" si="1758"/>
        <v>6.2835924175141901e-003</v>
      </c>
      <c r="O123" s="364"/>
      <c r="P123" s="364"/>
      <c r="Q123" s="364"/>
      <c r="R123" s="364"/>
      <c r="S123" s="364"/>
      <c r="T123" s="364"/>
    </row>
    <row r="124" s="202" customFormat="1" ht="18" customHeight="1">
      <c r="A124" s="378">
        <v>107</v>
      </c>
      <c r="B124" s="380" t="s">
        <v>139</v>
      </c>
      <c r="C124" s="235" t="s">
        <v>90</v>
      </c>
      <c r="D124" s="235"/>
      <c r="E124" s="381">
        <v>6829.1499999999996</v>
      </c>
      <c r="F124" s="389">
        <v>2883.3899999999999</v>
      </c>
      <c r="G124" s="382">
        <v>0.42199999999999999</v>
      </c>
      <c r="H124" s="381">
        <v>7941.1499999999996</v>
      </c>
      <c r="I124" s="375">
        <v>5293.5200000000004</v>
      </c>
      <c r="J124" s="382">
        <v>0.66700000000000004</v>
      </c>
      <c r="K124" s="381">
        <v>7941.1499999999996</v>
      </c>
      <c r="L124" s="389">
        <v>7393.8299999999999</v>
      </c>
      <c r="M124" s="390">
        <v>0.93100000000000005</v>
      </c>
      <c r="N124" s="377">
        <f t="shared" si="1758"/>
        <v>4.3022791071161701e-003</v>
      </c>
      <c r="O124" s="364"/>
      <c r="P124" s="364"/>
      <c r="Q124" s="364"/>
      <c r="R124" s="364"/>
      <c r="S124" s="364"/>
      <c r="T124" s="364"/>
    </row>
    <row r="125" s="202" customFormat="1" ht="18" customHeight="1">
      <c r="A125" s="378">
        <v>108</v>
      </c>
      <c r="B125" s="380" t="s">
        <v>140</v>
      </c>
      <c r="C125" s="235" t="s">
        <v>90</v>
      </c>
      <c r="D125" s="235" t="s">
        <v>91</v>
      </c>
      <c r="E125" s="381">
        <v>9918.6399999999994</v>
      </c>
      <c r="F125" s="389">
        <v>4986.7399999999998</v>
      </c>
      <c r="G125" s="382">
        <v>0.503</v>
      </c>
      <c r="H125" s="381">
        <v>10569.639999999999</v>
      </c>
      <c r="I125" s="375">
        <v>8619.4799999999996</v>
      </c>
      <c r="J125" s="382">
        <v>0.81499999999999995</v>
      </c>
      <c r="K125" s="381">
        <v>10569.639999999999</v>
      </c>
      <c r="L125" s="389">
        <v>9775.8500000000004</v>
      </c>
      <c r="M125" s="390">
        <v>0.92500000000000004</v>
      </c>
      <c r="N125" s="377">
        <f t="shared" si="1758"/>
        <v>5.1691362621850397e-003</v>
      </c>
      <c r="O125" s="364"/>
      <c r="P125" s="364"/>
      <c r="Q125" s="364"/>
      <c r="R125" s="364"/>
      <c r="S125" s="364"/>
      <c r="T125" s="364"/>
    </row>
    <row r="126" s="202" customFormat="1" ht="18" customHeight="1">
      <c r="A126" s="378">
        <v>109</v>
      </c>
      <c r="B126" s="396" t="s">
        <v>141</v>
      </c>
      <c r="C126" s="235" t="s">
        <v>90</v>
      </c>
      <c r="D126" s="235" t="s">
        <v>91</v>
      </c>
      <c r="E126" s="381">
        <v>25070.299999999999</v>
      </c>
      <c r="F126" s="389">
        <v>13019.91</v>
      </c>
      <c r="G126" s="382">
        <v>0.51900000000000002</v>
      </c>
      <c r="H126" s="381">
        <v>31949.299999999999</v>
      </c>
      <c r="I126" s="375">
        <v>17706.869999999999</v>
      </c>
      <c r="J126" s="382">
        <v>0.55400000000000005</v>
      </c>
      <c r="K126" s="381">
        <v>31147.299999999999</v>
      </c>
      <c r="L126" s="389">
        <v>28406.389999999999</v>
      </c>
      <c r="M126" s="390">
        <v>0.91200000000000003</v>
      </c>
      <c r="N126" s="377">
        <f t="shared" si="1758"/>
        <v>1.2006679896934099e-002</v>
      </c>
      <c r="O126" s="364"/>
      <c r="P126" s="364"/>
      <c r="Q126" s="364"/>
      <c r="R126" s="364"/>
      <c r="S126" s="364"/>
      <c r="T126" s="364"/>
    </row>
    <row r="127" s="202" customFormat="1" ht="18" customHeight="1">
      <c r="A127" s="378">
        <v>110</v>
      </c>
      <c r="B127" s="396" t="s">
        <v>142</v>
      </c>
      <c r="C127" s="235" t="s">
        <v>93</v>
      </c>
      <c r="D127" s="235" t="s">
        <v>1556</v>
      </c>
      <c r="E127" s="381">
        <v>21830.799999999999</v>
      </c>
      <c r="F127" s="389">
        <v>13613.85</v>
      </c>
      <c r="G127" s="382">
        <v>0.624</v>
      </c>
      <c r="H127" s="381">
        <v>25637.799999999999</v>
      </c>
      <c r="I127" s="375">
        <v>14733.629999999999</v>
      </c>
      <c r="J127" s="382">
        <v>0.57499999999999996</v>
      </c>
      <c r="K127" s="381">
        <v>25351.799999999999</v>
      </c>
      <c r="L127" s="389">
        <v>24603.049999999999</v>
      </c>
      <c r="M127" s="390">
        <v>0.96999999999999997</v>
      </c>
      <c r="N127" s="377">
        <f t="shared" si="1758"/>
        <v>1.07047504360728e-002</v>
      </c>
      <c r="O127" s="364"/>
      <c r="P127" s="364"/>
      <c r="Q127" s="364"/>
      <c r="R127" s="364"/>
      <c r="S127" s="364"/>
      <c r="T127" s="364"/>
    </row>
    <row r="128" s="202" customFormat="1" ht="18" customHeight="1">
      <c r="A128" s="378">
        <v>111</v>
      </c>
      <c r="B128" s="380" t="s">
        <v>143</v>
      </c>
      <c r="C128" s="235" t="s">
        <v>90</v>
      </c>
      <c r="D128" s="235" t="s">
        <v>91</v>
      </c>
      <c r="E128" s="381">
        <v>15917.9</v>
      </c>
      <c r="F128" s="389">
        <v>8358.5900000000001</v>
      </c>
      <c r="G128" s="382">
        <v>0.52500000000000002</v>
      </c>
      <c r="H128" s="381">
        <v>17288.900000000001</v>
      </c>
      <c r="I128" s="375">
        <v>13318.58</v>
      </c>
      <c r="J128" s="382">
        <v>0.77000000000000002</v>
      </c>
      <c r="K128" s="381">
        <v>17488.900000000001</v>
      </c>
      <c r="L128" s="389">
        <v>15918.809999999999</v>
      </c>
      <c r="M128" s="390">
        <v>0.91000000000000003</v>
      </c>
      <c r="N128" s="377">
        <f t="shared" si="1758"/>
        <v>7.4054659999760498e-003</v>
      </c>
      <c r="O128" s="364"/>
      <c r="P128" s="364"/>
      <c r="Q128" s="364"/>
      <c r="R128" s="364"/>
      <c r="S128" s="364"/>
      <c r="T128" s="364"/>
    </row>
    <row r="129" s="202" customFormat="1" ht="18" customHeight="1">
      <c r="A129" s="378">
        <v>112</v>
      </c>
      <c r="B129" s="380" t="s">
        <v>144</v>
      </c>
      <c r="C129" s="235" t="s">
        <v>93</v>
      </c>
      <c r="D129" s="235" t="s">
        <v>1556</v>
      </c>
      <c r="E129" s="384">
        <v>49417.519999999997</v>
      </c>
      <c r="F129" s="389">
        <v>25271.580000000002</v>
      </c>
      <c r="G129" s="382">
        <v>0.51100000000000001</v>
      </c>
      <c r="H129" s="384">
        <v>53715.519999999997</v>
      </c>
      <c r="I129" s="375">
        <v>43308.459999999999</v>
      </c>
      <c r="J129" s="382">
        <v>0.80600000000000005</v>
      </c>
      <c r="K129" s="384">
        <v>54252.519999999997</v>
      </c>
      <c r="L129" s="389">
        <v>50029.199999999997</v>
      </c>
      <c r="M129" s="390">
        <v>0.92200000000000004</v>
      </c>
      <c r="N129" s="377">
        <f t="shared" si="1758"/>
        <v>1.9984983353216301e-002</v>
      </c>
      <c r="O129" s="364"/>
      <c r="P129" s="364"/>
      <c r="Q129" s="364"/>
      <c r="R129" s="364"/>
      <c r="S129" s="364"/>
      <c r="T129" s="364"/>
    </row>
    <row r="130" s="202" customFormat="1" ht="18" customHeight="1">
      <c r="A130" s="378">
        <v>113</v>
      </c>
      <c r="B130" s="380" t="s">
        <v>145</v>
      </c>
      <c r="C130" s="235" t="s">
        <v>90</v>
      </c>
      <c r="D130" s="235" t="s">
        <v>91</v>
      </c>
      <c r="E130" s="381">
        <v>15765.950000000001</v>
      </c>
      <c r="F130" s="389">
        <v>4911.2299999999996</v>
      </c>
      <c r="G130" s="382">
        <v>0.312</v>
      </c>
      <c r="H130" s="381">
        <v>16879.950000000001</v>
      </c>
      <c r="I130" s="375">
        <v>13413.67</v>
      </c>
      <c r="J130" s="382">
        <v>0.79500000000000004</v>
      </c>
      <c r="K130" s="381">
        <v>16681.950000000001</v>
      </c>
      <c r="L130" s="389">
        <v>15046.969999999999</v>
      </c>
      <c r="M130" s="390">
        <v>0.90200000000000002</v>
      </c>
      <c r="N130" s="377">
        <f t="shared" si="1758"/>
        <v>7.0708857557683904e-003</v>
      </c>
      <c r="O130" s="364"/>
      <c r="P130" s="364"/>
      <c r="Q130" s="364"/>
      <c r="R130" s="364"/>
      <c r="S130" s="364"/>
      <c r="T130" s="364"/>
    </row>
    <row r="131" s="202" customFormat="1" ht="18" customHeight="1">
      <c r="A131" s="365"/>
      <c r="B131" s="391" t="s">
        <v>460</v>
      </c>
      <c r="C131" s="366"/>
      <c r="D131" s="366"/>
      <c r="E131" s="392">
        <v>39811.550000000003</v>
      </c>
      <c r="F131" s="366">
        <f>SUM(F132:F135)</f>
        <v>21499.169999999998</v>
      </c>
      <c r="G131" s="393"/>
      <c r="H131" s="392">
        <v>65424.550000000003</v>
      </c>
      <c r="I131" s="366">
        <f>SUM(I132:I135)</f>
        <v>46658.059999999998</v>
      </c>
      <c r="J131" s="393"/>
      <c r="K131" s="366"/>
      <c r="L131" s="366"/>
      <c r="M131" s="366"/>
      <c r="N131" s="370"/>
      <c r="O131" s="364"/>
      <c r="P131" s="371"/>
      <c r="Q131" s="364"/>
      <c r="R131" s="364"/>
      <c r="S131" s="364"/>
    </row>
    <row r="132" s="202" customFormat="1" ht="29" customHeight="1">
      <c r="A132" s="372">
        <v>114</v>
      </c>
      <c r="B132" s="397" t="s">
        <v>160</v>
      </c>
      <c r="C132" s="374"/>
      <c r="D132" s="374"/>
      <c r="E132" s="381">
        <v>70</v>
      </c>
      <c r="F132" s="389"/>
      <c r="G132" s="382"/>
      <c r="H132" s="381">
        <v>70</v>
      </c>
      <c r="I132" s="375"/>
      <c r="J132" s="382"/>
      <c r="K132" s="381"/>
      <c r="L132" s="389"/>
      <c r="M132" s="395"/>
      <c r="N132" s="377">
        <f t="shared" si="1758"/>
        <v>0</v>
      </c>
      <c r="O132" s="364"/>
      <c r="P132" s="364"/>
      <c r="Q132" s="364"/>
      <c r="R132" s="364"/>
      <c r="S132" s="364"/>
      <c r="T132" s="364"/>
    </row>
    <row r="133" s="202" customFormat="1" ht="18" customHeight="1">
      <c r="A133" s="378">
        <v>115</v>
      </c>
      <c r="B133" s="380" t="s">
        <v>161</v>
      </c>
      <c r="C133" s="235" t="s">
        <v>78</v>
      </c>
      <c r="D133" s="235"/>
      <c r="E133" s="381">
        <v>8379.6499999999996</v>
      </c>
      <c r="F133" s="389">
        <v>4053.8699999999999</v>
      </c>
      <c r="G133" s="382">
        <v>0.48399999999999999</v>
      </c>
      <c r="H133" s="381">
        <v>8971.6499999999996</v>
      </c>
      <c r="I133" s="375">
        <v>7135.6400000000003</v>
      </c>
      <c r="J133" s="382">
        <v>0.79500000000000004</v>
      </c>
      <c r="K133" s="381">
        <v>8971.6499999999996</v>
      </c>
      <c r="L133" s="389">
        <v>7980.6999999999998</v>
      </c>
      <c r="M133" s="390">
        <v>0.89000000000000001</v>
      </c>
      <c r="N133" s="377">
        <f t="shared" si="1758"/>
        <v>4.4487814036240801e-003</v>
      </c>
      <c r="O133" s="364"/>
      <c r="P133" s="364"/>
      <c r="Q133" s="364"/>
      <c r="R133" s="364"/>
      <c r="S133" s="364"/>
      <c r="T133" s="364"/>
    </row>
    <row r="134" s="202" customFormat="1" ht="18" customHeight="1">
      <c r="A134" s="378">
        <v>116</v>
      </c>
      <c r="B134" s="380" t="s">
        <v>162</v>
      </c>
      <c r="C134" s="235" t="s">
        <v>90</v>
      </c>
      <c r="D134" s="235"/>
      <c r="E134" s="381">
        <v>10726.200000000001</v>
      </c>
      <c r="F134" s="389">
        <v>7035.0600000000004</v>
      </c>
      <c r="G134" s="382">
        <v>0.65600000000000003</v>
      </c>
      <c r="H134" s="381">
        <v>11343.200000000001</v>
      </c>
      <c r="I134" s="375">
        <v>9221.6100000000006</v>
      </c>
      <c r="J134" s="382">
        <v>0.81299999999999994</v>
      </c>
      <c r="K134" s="381">
        <v>11343.200000000001</v>
      </c>
      <c r="L134" s="389">
        <v>10110.469999999999</v>
      </c>
      <c r="M134" s="390">
        <v>0.89100000000000001</v>
      </c>
      <c r="N134" s="377">
        <f t="shared" si="1758"/>
        <v>5.2346414779297799e-003</v>
      </c>
      <c r="O134" s="364"/>
      <c r="P134" s="364"/>
      <c r="Q134" s="364"/>
      <c r="R134" s="364"/>
      <c r="S134" s="364"/>
      <c r="T134" s="364"/>
    </row>
    <row r="135" s="202" customFormat="1" ht="18" customHeight="1">
      <c r="A135" s="378">
        <v>117</v>
      </c>
      <c r="B135" s="380" t="s">
        <v>163</v>
      </c>
      <c r="C135" s="235" t="s">
        <v>90</v>
      </c>
      <c r="D135" s="235"/>
      <c r="E135" s="381">
        <v>20635.700000000001</v>
      </c>
      <c r="F135" s="389">
        <v>10410.24</v>
      </c>
      <c r="G135" s="382">
        <v>0.504</v>
      </c>
      <c r="H135" s="381">
        <v>45039.699999999997</v>
      </c>
      <c r="I135" s="375">
        <v>30300.810000000001</v>
      </c>
      <c r="J135" s="382">
        <v>0.67300000000000004</v>
      </c>
      <c r="K135" s="381">
        <v>45039.699999999997</v>
      </c>
      <c r="L135" s="389">
        <v>35188.839999999997</v>
      </c>
      <c r="M135" s="390">
        <v>0.78100000000000003</v>
      </c>
      <c r="N135" s="377">
        <f t="shared" si="1758"/>
        <v>1.4281608962602501e-002</v>
      </c>
      <c r="O135" s="364"/>
      <c r="P135" s="364"/>
      <c r="Q135" s="364"/>
      <c r="R135" s="364"/>
      <c r="S135" s="364"/>
      <c r="T135" s="364"/>
    </row>
    <row r="136" s="202" customFormat="1" ht="18" customHeight="1">
      <c r="A136" s="365"/>
      <c r="B136" s="391" t="s">
        <v>461</v>
      </c>
      <c r="C136" s="366"/>
      <c r="D136" s="366"/>
      <c r="E136" s="392">
        <v>100172.5</v>
      </c>
      <c r="F136" s="366">
        <f>SUM(F137:F149)</f>
        <v>53471.419999999998</v>
      </c>
      <c r="G136" s="393"/>
      <c r="H136" s="392">
        <v>110927.5</v>
      </c>
      <c r="I136" s="366">
        <f>SUM(I137:I149)</f>
        <v>86729.960000000006</v>
      </c>
      <c r="J136" s="393"/>
      <c r="K136" s="366"/>
      <c r="L136" s="366"/>
      <c r="M136" s="366"/>
      <c r="N136" s="370"/>
      <c r="O136" s="364"/>
      <c r="P136" s="371"/>
      <c r="Q136" s="364"/>
      <c r="R136" s="364"/>
      <c r="S136" s="364"/>
    </row>
    <row r="137" s="202" customFormat="1" ht="18" customHeight="1">
      <c r="A137" s="372">
        <v>118</v>
      </c>
      <c r="B137" s="394" t="s">
        <v>177</v>
      </c>
      <c r="C137" s="374"/>
      <c r="D137" s="374"/>
      <c r="E137" s="381" t="s">
        <v>233</v>
      </c>
      <c r="F137" s="389"/>
      <c r="G137" s="382"/>
      <c r="H137" s="381" t="s">
        <v>233</v>
      </c>
      <c r="I137" s="375"/>
      <c r="J137" s="382"/>
      <c r="K137" s="381"/>
      <c r="L137" s="389"/>
      <c r="M137" s="395"/>
      <c r="N137" s="377">
        <f t="shared" ref="N137:N167" si="1759">L137/$L$6*0.8+M137/$M$6*0.2</f>
        <v>0</v>
      </c>
      <c r="O137" s="364"/>
      <c r="P137" s="364"/>
      <c r="Q137" s="364"/>
      <c r="R137" s="364"/>
      <c r="S137" s="364"/>
      <c r="T137" s="364"/>
    </row>
    <row r="138" s="202" customFormat="1" ht="18" customHeight="1">
      <c r="A138" s="378">
        <v>119</v>
      </c>
      <c r="B138" s="380" t="s">
        <v>178</v>
      </c>
      <c r="C138" s="235" t="s">
        <v>78</v>
      </c>
      <c r="D138" s="235"/>
      <c r="E138" s="381">
        <v>4523</v>
      </c>
      <c r="F138" s="389">
        <v>2544.2399999999998</v>
      </c>
      <c r="G138" s="382">
        <v>0.56299999999999994</v>
      </c>
      <c r="H138" s="381">
        <v>6417</v>
      </c>
      <c r="I138" s="375">
        <v>3609.4699999999998</v>
      </c>
      <c r="J138" s="382">
        <v>0.56200000000000006</v>
      </c>
      <c r="K138" s="381">
        <v>6318</v>
      </c>
      <c r="L138" s="389">
        <v>5401.1400000000003</v>
      </c>
      <c r="M138" s="390">
        <v>0.85499999999999998</v>
      </c>
      <c r="N138" s="377">
        <f t="shared" si="1759"/>
        <v>3.43961351168693e-003</v>
      </c>
      <c r="O138" s="364"/>
      <c r="P138" s="364"/>
      <c r="Q138" s="364"/>
      <c r="R138" s="364"/>
      <c r="S138" s="364"/>
      <c r="T138" s="364"/>
    </row>
    <row r="139" s="202" customFormat="1" ht="18" customHeight="1">
      <c r="A139" s="378">
        <v>120</v>
      </c>
      <c r="B139" s="380" t="s">
        <v>179</v>
      </c>
      <c r="C139" s="235" t="s">
        <v>90</v>
      </c>
      <c r="D139" s="235"/>
      <c r="E139" s="384">
        <v>13519</v>
      </c>
      <c r="F139" s="389">
        <v>8086.8599999999997</v>
      </c>
      <c r="G139" s="382">
        <v>0.59799999999999998</v>
      </c>
      <c r="H139" s="384">
        <v>13823</v>
      </c>
      <c r="I139" s="375">
        <v>11222.540000000001</v>
      </c>
      <c r="J139" s="382">
        <v>0.81200000000000006</v>
      </c>
      <c r="K139" s="384">
        <v>14053</v>
      </c>
      <c r="L139" s="389">
        <v>12882.700000000001</v>
      </c>
      <c r="M139" s="390">
        <v>0.91700000000000004</v>
      </c>
      <c r="N139" s="377">
        <f t="shared" si="1759"/>
        <v>6.2994755470036599e-003</v>
      </c>
      <c r="O139" s="364"/>
      <c r="P139" s="364"/>
      <c r="Q139" s="364"/>
      <c r="R139" s="364"/>
      <c r="S139" s="364"/>
      <c r="T139" s="364"/>
    </row>
    <row r="140" s="202" customFormat="1" ht="18" customHeight="1">
      <c r="A140" s="378">
        <v>121</v>
      </c>
      <c r="B140" s="380" t="s">
        <v>180</v>
      </c>
      <c r="C140" s="235" t="s">
        <v>90</v>
      </c>
      <c r="D140" s="235"/>
      <c r="E140" s="381">
        <v>4141.5</v>
      </c>
      <c r="F140" s="389">
        <v>2539.9099999999999</v>
      </c>
      <c r="G140" s="382">
        <v>0.61299999999999999</v>
      </c>
      <c r="H140" s="381">
        <v>4836.5</v>
      </c>
      <c r="I140" s="375">
        <v>3880.8499999999999</v>
      </c>
      <c r="J140" s="382">
        <v>0.80200000000000005</v>
      </c>
      <c r="K140" s="381">
        <v>4836.5</v>
      </c>
      <c r="L140" s="389">
        <v>4504.7200000000003</v>
      </c>
      <c r="M140" s="390">
        <v>0.93100000000000005</v>
      </c>
      <c r="N140" s="377">
        <f t="shared" si="1759"/>
        <v>3.2385335877353899e-003</v>
      </c>
      <c r="O140" s="364"/>
      <c r="P140" s="364"/>
      <c r="Q140" s="364"/>
      <c r="R140" s="364"/>
      <c r="S140" s="364"/>
      <c r="T140" s="364"/>
    </row>
    <row r="141" s="202" customFormat="1" ht="18" customHeight="1">
      <c r="A141" s="378">
        <v>122</v>
      </c>
      <c r="B141" s="380" t="s">
        <v>181</v>
      </c>
      <c r="C141" s="235" t="s">
        <v>90</v>
      </c>
      <c r="D141" s="235"/>
      <c r="E141" s="381">
        <v>4269</v>
      </c>
      <c r="F141" s="389">
        <v>2393.8200000000002</v>
      </c>
      <c r="G141" s="382">
        <v>0.56100000000000005</v>
      </c>
      <c r="H141" s="381">
        <v>5008</v>
      </c>
      <c r="I141" s="375">
        <v>4040.0500000000002</v>
      </c>
      <c r="J141" s="382">
        <v>0.80700000000000005</v>
      </c>
      <c r="K141" s="381">
        <v>5008</v>
      </c>
      <c r="L141" s="389">
        <v>4883.1499999999996</v>
      </c>
      <c r="M141" s="390">
        <v>0.97499999999999998</v>
      </c>
      <c r="N141" s="377">
        <f t="shared" si="1759"/>
        <v>3.4525375589900299e-003</v>
      </c>
      <c r="O141" s="364"/>
      <c r="P141" s="364"/>
      <c r="Q141" s="364"/>
      <c r="R141" s="364"/>
      <c r="S141" s="364"/>
      <c r="T141" s="364"/>
    </row>
    <row r="142" s="202" customFormat="1" ht="18" customHeight="1">
      <c r="A142" s="378">
        <v>123</v>
      </c>
      <c r="B142" s="380" t="s">
        <v>182</v>
      </c>
      <c r="C142" s="235" t="s">
        <v>90</v>
      </c>
      <c r="D142" s="235" t="s">
        <v>91</v>
      </c>
      <c r="E142" s="384">
        <v>14177</v>
      </c>
      <c r="F142" s="389">
        <v>5385.2700000000004</v>
      </c>
      <c r="G142" s="382">
        <v>0.38</v>
      </c>
      <c r="H142" s="384">
        <v>14891</v>
      </c>
      <c r="I142" s="375">
        <v>12245.280000000001</v>
      </c>
      <c r="J142" s="382">
        <v>0.82199999999999995</v>
      </c>
      <c r="K142" s="384">
        <v>15279</v>
      </c>
      <c r="L142" s="389">
        <v>14509.370000000001</v>
      </c>
      <c r="M142" s="390">
        <v>0.94999999999999996</v>
      </c>
      <c r="N142" s="377">
        <f t="shared" si="1759"/>
        <v>6.9544034560761201e-003</v>
      </c>
      <c r="O142" s="364"/>
      <c r="P142" s="364"/>
      <c r="Q142" s="364"/>
      <c r="R142" s="364"/>
      <c r="S142" s="364"/>
      <c r="T142" s="364"/>
    </row>
    <row r="143" s="202" customFormat="1" ht="18" customHeight="1">
      <c r="A143" s="378">
        <v>124</v>
      </c>
      <c r="B143" s="380" t="s">
        <v>183</v>
      </c>
      <c r="C143" s="235" t="s">
        <v>90</v>
      </c>
      <c r="D143" s="235" t="s">
        <v>91</v>
      </c>
      <c r="E143" s="381">
        <v>13550</v>
      </c>
      <c r="F143" s="389">
        <v>6782.8000000000002</v>
      </c>
      <c r="G143" s="382">
        <v>0.501</v>
      </c>
      <c r="H143" s="381">
        <v>14441</v>
      </c>
      <c r="I143" s="375">
        <v>10993.23</v>
      </c>
      <c r="J143" s="382">
        <v>0.76100000000000001</v>
      </c>
      <c r="K143" s="381">
        <v>14441</v>
      </c>
      <c r="L143" s="389">
        <v>13775.09</v>
      </c>
      <c r="M143" s="390">
        <v>0.95399999999999996</v>
      </c>
      <c r="N143" s="377">
        <f t="shared" si="1759"/>
        <v>6.69083597608816e-003</v>
      </c>
      <c r="O143" s="364"/>
      <c r="P143" s="364"/>
      <c r="Q143" s="364"/>
      <c r="R143" s="364"/>
      <c r="S143" s="364"/>
      <c r="T143" s="364"/>
    </row>
    <row r="144" s="202" customFormat="1" ht="18" customHeight="1">
      <c r="A144" s="378">
        <v>125</v>
      </c>
      <c r="B144" s="380" t="s">
        <v>184</v>
      </c>
      <c r="C144" s="235" t="s">
        <v>90</v>
      </c>
      <c r="D144" s="235" t="s">
        <v>91</v>
      </c>
      <c r="E144" s="381">
        <v>6182</v>
      </c>
      <c r="F144" s="389">
        <v>3096.6300000000001</v>
      </c>
      <c r="G144" s="382">
        <v>0.501</v>
      </c>
      <c r="H144" s="381">
        <v>7481</v>
      </c>
      <c r="I144" s="375">
        <v>5960.1300000000001</v>
      </c>
      <c r="J144" s="382">
        <v>0.79700000000000004</v>
      </c>
      <c r="K144" s="381">
        <v>7669</v>
      </c>
      <c r="L144" s="389">
        <v>7159.4399999999996</v>
      </c>
      <c r="M144" s="390">
        <v>0.93400000000000005</v>
      </c>
      <c r="N144" s="377">
        <f t="shared" si="1759"/>
        <v>4.2210698077504603e-003</v>
      </c>
      <c r="O144" s="364"/>
      <c r="P144" s="364"/>
      <c r="Q144" s="364"/>
      <c r="R144" s="364"/>
      <c r="S144" s="364"/>
      <c r="T144" s="364"/>
    </row>
    <row r="145" s="202" customFormat="1" ht="18" customHeight="1">
      <c r="A145" s="378">
        <v>126</v>
      </c>
      <c r="B145" s="380" t="s">
        <v>185</v>
      </c>
      <c r="C145" s="235" t="s">
        <v>90</v>
      </c>
      <c r="D145" s="235" t="s">
        <v>91</v>
      </c>
      <c r="E145" s="381">
        <v>6378</v>
      </c>
      <c r="F145" s="389">
        <v>3281.29</v>
      </c>
      <c r="G145" s="382">
        <v>0.51400000000000001</v>
      </c>
      <c r="H145" s="381">
        <v>8203</v>
      </c>
      <c r="I145" s="375">
        <v>6286.5</v>
      </c>
      <c r="J145" s="382">
        <v>0.76600000000000001</v>
      </c>
      <c r="K145" s="381">
        <v>8403</v>
      </c>
      <c r="L145" s="389">
        <v>7981.25</v>
      </c>
      <c r="M145" s="390">
        <v>0.94999999999999996</v>
      </c>
      <c r="N145" s="377">
        <f t="shared" si="1759"/>
        <v>4.5508056699135697e-003</v>
      </c>
      <c r="O145" s="364"/>
      <c r="P145" s="364"/>
      <c r="Q145" s="364"/>
      <c r="R145" s="364"/>
      <c r="S145" s="364"/>
      <c r="T145" s="364"/>
    </row>
    <row r="146" s="202" customFormat="1" ht="18" customHeight="1">
      <c r="A146" s="378">
        <v>127</v>
      </c>
      <c r="B146" s="380" t="s">
        <v>186</v>
      </c>
      <c r="C146" s="235" t="s">
        <v>90</v>
      </c>
      <c r="D146" s="235" t="s">
        <v>91</v>
      </c>
      <c r="E146" s="384">
        <v>12986</v>
      </c>
      <c r="F146" s="389">
        <v>7660.3400000000001</v>
      </c>
      <c r="G146" s="382">
        <v>0.58999999999999997</v>
      </c>
      <c r="H146" s="384">
        <v>13661</v>
      </c>
      <c r="I146" s="375">
        <v>11144.780000000001</v>
      </c>
      <c r="J146" s="382">
        <v>0.81599999999999995</v>
      </c>
      <c r="K146" s="384">
        <v>13891</v>
      </c>
      <c r="L146" s="389">
        <v>13453.780000000001</v>
      </c>
      <c r="M146" s="390">
        <v>0.96899999999999997</v>
      </c>
      <c r="N146" s="377">
        <f t="shared" si="1759"/>
        <v>6.5979878305186803e-003</v>
      </c>
      <c r="O146" s="364"/>
      <c r="P146" s="364"/>
      <c r="Q146" s="364"/>
      <c r="R146" s="364"/>
      <c r="S146" s="364"/>
      <c r="T146" s="364"/>
    </row>
    <row r="147" s="202" customFormat="1" ht="18" customHeight="1">
      <c r="A147" s="378">
        <v>128</v>
      </c>
      <c r="B147" s="380" t="s">
        <v>187</v>
      </c>
      <c r="C147" s="235" t="s">
        <v>90</v>
      </c>
      <c r="D147" s="235" t="s">
        <v>91</v>
      </c>
      <c r="E147" s="381">
        <v>4773</v>
      </c>
      <c r="F147" s="389">
        <v>2927.27</v>
      </c>
      <c r="G147" s="382">
        <v>0.61299999999999999</v>
      </c>
      <c r="H147" s="381">
        <v>5185</v>
      </c>
      <c r="I147" s="375">
        <v>4261.4700000000003</v>
      </c>
      <c r="J147" s="382">
        <v>0.82199999999999995</v>
      </c>
      <c r="K147" s="381">
        <v>5185</v>
      </c>
      <c r="L147" s="389">
        <v>5027.6700000000001</v>
      </c>
      <c r="M147" s="390">
        <v>0.96999999999999997</v>
      </c>
      <c r="N147" s="377">
        <f t="shared" si="1759"/>
        <v>3.49726343655518e-003</v>
      </c>
      <c r="O147" s="364"/>
      <c r="P147" s="364"/>
      <c r="Q147" s="364"/>
      <c r="R147" s="364"/>
      <c r="S147" s="364"/>
      <c r="T147" s="364"/>
    </row>
    <row r="148" s="202" customFormat="1" ht="18" customHeight="1">
      <c r="A148" s="378">
        <v>129</v>
      </c>
      <c r="B148" s="380" t="s">
        <v>188</v>
      </c>
      <c r="C148" s="235" t="s">
        <v>90</v>
      </c>
      <c r="D148" s="235" t="s">
        <v>91</v>
      </c>
      <c r="E148" s="381">
        <v>11094</v>
      </c>
      <c r="F148" s="389">
        <v>5853.1199999999999</v>
      </c>
      <c r="G148" s="382">
        <v>0.52800000000000002</v>
      </c>
      <c r="H148" s="381">
        <v>11683</v>
      </c>
      <c r="I148" s="375">
        <v>8932.7399999999998</v>
      </c>
      <c r="J148" s="382">
        <v>0.76500000000000001</v>
      </c>
      <c r="K148" s="381">
        <v>11683</v>
      </c>
      <c r="L148" s="389">
        <v>11527.1</v>
      </c>
      <c r="M148" s="390">
        <v>0.98699999999999999</v>
      </c>
      <c r="N148" s="377">
        <f t="shared" si="1759"/>
        <v>5.9191473097709802e-003</v>
      </c>
      <c r="O148" s="364"/>
      <c r="P148" s="364"/>
      <c r="Q148" s="364"/>
      <c r="R148" s="364"/>
      <c r="S148" s="364"/>
      <c r="T148" s="364"/>
    </row>
    <row r="149" s="202" customFormat="1" ht="18" customHeight="1">
      <c r="A149" s="378">
        <v>130</v>
      </c>
      <c r="B149" s="380" t="s">
        <v>189</v>
      </c>
      <c r="C149" s="235" t="s">
        <v>90</v>
      </c>
      <c r="D149" s="235"/>
      <c r="E149" s="381">
        <v>4580</v>
      </c>
      <c r="F149" s="389">
        <v>2919.8699999999999</v>
      </c>
      <c r="G149" s="382">
        <v>0.63800000000000001</v>
      </c>
      <c r="H149" s="381">
        <v>5298</v>
      </c>
      <c r="I149" s="375">
        <v>4152.9200000000001</v>
      </c>
      <c r="J149" s="382">
        <v>0.78400000000000003</v>
      </c>
      <c r="K149" s="381">
        <v>5298</v>
      </c>
      <c r="L149" s="389">
        <v>5234.9499999999998</v>
      </c>
      <c r="M149" s="390">
        <v>0.98799999999999999</v>
      </c>
      <c r="N149" s="377">
        <f t="shared" si="1759"/>
        <v>3.6041286828214802e-003</v>
      </c>
      <c r="O149" s="364"/>
      <c r="P149" s="364"/>
      <c r="Q149" s="364"/>
      <c r="R149" s="364"/>
      <c r="S149" s="364"/>
      <c r="T149" s="364"/>
    </row>
    <row r="150" s="202" customFormat="1" ht="18" customHeight="1">
      <c r="A150" s="365"/>
      <c r="B150" s="391" t="s">
        <v>385</v>
      </c>
      <c r="C150" s="366"/>
      <c r="D150" s="366"/>
      <c r="E150" s="392">
        <v>69870.449999999997</v>
      </c>
      <c r="F150" s="366">
        <f>SUM(F151:F156)</f>
        <v>23741.209999999999</v>
      </c>
      <c r="G150" s="393"/>
      <c r="H150" s="392">
        <v>104898.45</v>
      </c>
      <c r="I150" s="366">
        <f>SUM(I151:I156)</f>
        <v>49597.510000000002</v>
      </c>
      <c r="J150" s="393"/>
      <c r="K150" s="366"/>
      <c r="L150" s="366"/>
      <c r="M150" s="366"/>
      <c r="N150" s="370"/>
      <c r="O150" s="364"/>
      <c r="P150" s="371"/>
      <c r="Q150" s="364"/>
      <c r="R150" s="364"/>
      <c r="S150" s="364"/>
    </row>
    <row r="151" s="202" customFormat="1" ht="18" customHeight="1">
      <c r="A151" s="372">
        <v>131</v>
      </c>
      <c r="B151" s="394" t="s">
        <v>198</v>
      </c>
      <c r="C151" s="374"/>
      <c r="D151" s="374"/>
      <c r="E151" s="381">
        <v>90</v>
      </c>
      <c r="F151" s="389"/>
      <c r="G151" s="382"/>
      <c r="H151" s="381">
        <v>90</v>
      </c>
      <c r="I151" s="375"/>
      <c r="J151" s="382"/>
      <c r="K151" s="381"/>
      <c r="L151" s="389"/>
      <c r="M151" s="395"/>
      <c r="N151" s="377">
        <f t="shared" si="1759"/>
        <v>0</v>
      </c>
      <c r="O151" s="364"/>
      <c r="P151" s="364"/>
      <c r="Q151" s="364"/>
      <c r="R151" s="364"/>
      <c r="S151" s="364"/>
      <c r="T151" s="364"/>
    </row>
    <row r="152" s="202" customFormat="1" ht="18" customHeight="1">
      <c r="A152" s="378">
        <v>132</v>
      </c>
      <c r="B152" s="396" t="s">
        <v>199</v>
      </c>
      <c r="C152" s="235" t="s">
        <v>78</v>
      </c>
      <c r="D152" s="235"/>
      <c r="E152" s="381">
        <v>14657</v>
      </c>
      <c r="F152" s="389">
        <v>7149.9899999999998</v>
      </c>
      <c r="G152" s="382">
        <v>0.48799999999999999</v>
      </c>
      <c r="H152" s="381">
        <v>33521</v>
      </c>
      <c r="I152" s="375">
        <v>11433.07</v>
      </c>
      <c r="J152" s="382">
        <v>0.34100000000000003</v>
      </c>
      <c r="K152" s="381">
        <v>30809</v>
      </c>
      <c r="L152" s="389">
        <v>11041.48</v>
      </c>
      <c r="M152" s="390">
        <v>0.35799999999999998</v>
      </c>
      <c r="N152" s="377">
        <f t="shared" si="1759"/>
        <v>4.67291473016426e-003</v>
      </c>
      <c r="O152" s="364"/>
      <c r="P152" s="364"/>
      <c r="Q152" s="364"/>
      <c r="R152" s="364"/>
      <c r="S152" s="364"/>
      <c r="T152" s="364"/>
    </row>
    <row r="153" s="202" customFormat="1" ht="18" customHeight="1">
      <c r="A153" s="378">
        <v>133</v>
      </c>
      <c r="B153" s="380" t="s">
        <v>200</v>
      </c>
      <c r="C153" s="235" t="s">
        <v>90</v>
      </c>
      <c r="D153" s="235"/>
      <c r="E153" s="381">
        <v>9098.7999999999993</v>
      </c>
      <c r="F153" s="389">
        <v>3313.2399999999998</v>
      </c>
      <c r="G153" s="382">
        <v>0.36399999999999999</v>
      </c>
      <c r="H153" s="381">
        <v>9869.7999999999993</v>
      </c>
      <c r="I153" s="375">
        <v>7405.0299999999997</v>
      </c>
      <c r="J153" s="382">
        <v>0.75</v>
      </c>
      <c r="K153" s="381">
        <v>9826.7999999999993</v>
      </c>
      <c r="L153" s="389">
        <v>7761.8999999999996</v>
      </c>
      <c r="M153" s="390">
        <v>0.79000000000000004</v>
      </c>
      <c r="N153" s="377">
        <f t="shared" si="1759"/>
        <v>4.1985181854656203e-003</v>
      </c>
      <c r="O153" s="364"/>
      <c r="P153" s="364"/>
      <c r="Q153" s="364"/>
      <c r="R153" s="364"/>
      <c r="S153" s="364"/>
      <c r="T153" s="364"/>
    </row>
    <row r="154" s="202" customFormat="1" ht="18" customHeight="1">
      <c r="A154" s="378">
        <v>134</v>
      </c>
      <c r="B154" s="380" t="s">
        <v>201</v>
      </c>
      <c r="C154" s="235" t="s">
        <v>90</v>
      </c>
      <c r="D154" s="235" t="s">
        <v>91</v>
      </c>
      <c r="E154" s="381">
        <v>12859.5</v>
      </c>
      <c r="F154" s="389">
        <v>6489.3599999999997</v>
      </c>
      <c r="G154" s="382">
        <v>0.505</v>
      </c>
      <c r="H154" s="381">
        <v>13461.5</v>
      </c>
      <c r="I154" s="375">
        <v>10327.66</v>
      </c>
      <c r="J154" s="382">
        <v>0.76700000000000002</v>
      </c>
      <c r="K154" s="381">
        <v>15961.5</v>
      </c>
      <c r="L154" s="389">
        <v>13174.93</v>
      </c>
      <c r="M154" s="390">
        <v>0.82499999999999996</v>
      </c>
      <c r="N154" s="377">
        <f t="shared" si="1759"/>
        <v>6.2509454260602703e-003</v>
      </c>
      <c r="O154" s="364"/>
      <c r="P154" s="364"/>
      <c r="Q154" s="364"/>
      <c r="R154" s="364"/>
      <c r="S154" s="364"/>
      <c r="T154" s="364"/>
    </row>
    <row r="155" s="202" customFormat="1" ht="18" customHeight="1">
      <c r="A155" s="378">
        <v>135</v>
      </c>
      <c r="B155" s="396" t="s">
        <v>202</v>
      </c>
      <c r="C155" s="235" t="s">
        <v>90</v>
      </c>
      <c r="D155" s="235" t="s">
        <v>91</v>
      </c>
      <c r="E155" s="381">
        <v>20173.450000000001</v>
      </c>
      <c r="F155" s="389">
        <v>2158.98</v>
      </c>
      <c r="G155" s="382">
        <v>0.107</v>
      </c>
      <c r="H155" s="381">
        <v>34396.449999999997</v>
      </c>
      <c r="I155" s="375">
        <v>12563.25</v>
      </c>
      <c r="J155" s="382">
        <v>0.36499999999999999</v>
      </c>
      <c r="K155" s="381">
        <v>31374.73</v>
      </c>
      <c r="L155" s="389">
        <v>21308.59</v>
      </c>
      <c r="M155" s="390">
        <v>0.67900000000000005</v>
      </c>
      <c r="N155" s="377">
        <f t="shared" si="1759"/>
        <v>8.9979229828752502e-003</v>
      </c>
      <c r="O155" s="364"/>
      <c r="P155" s="364"/>
      <c r="Q155" s="364"/>
      <c r="R155" s="364"/>
      <c r="S155" s="364"/>
      <c r="T155" s="364"/>
    </row>
    <row r="156" s="202" customFormat="1" ht="18" customHeight="1">
      <c r="A156" s="378">
        <v>136</v>
      </c>
      <c r="B156" s="396" t="s">
        <v>203</v>
      </c>
      <c r="C156" s="235" t="s">
        <v>90</v>
      </c>
      <c r="D156" s="235" t="s">
        <v>91</v>
      </c>
      <c r="E156" s="381">
        <v>12991.700000000001</v>
      </c>
      <c r="F156" s="389">
        <v>4629.6400000000003</v>
      </c>
      <c r="G156" s="382">
        <v>0.35599999999999998</v>
      </c>
      <c r="H156" s="381">
        <v>13559.700000000001</v>
      </c>
      <c r="I156" s="375">
        <v>7868.5</v>
      </c>
      <c r="J156" s="382">
        <v>0.57999999999999996</v>
      </c>
      <c r="K156" s="381">
        <v>14396.42</v>
      </c>
      <c r="L156" s="389">
        <v>13635.139999999999</v>
      </c>
      <c r="M156" s="390">
        <v>0.94699999999999995</v>
      </c>
      <c r="N156" s="377">
        <f t="shared" si="1759"/>
        <v>6.62742838112035e-003</v>
      </c>
      <c r="O156" s="364"/>
      <c r="P156" s="364"/>
      <c r="Q156" s="364"/>
      <c r="R156" s="364"/>
      <c r="S156" s="364"/>
      <c r="T156" s="364"/>
    </row>
    <row r="157" s="202" customFormat="1" ht="18" customHeight="1">
      <c r="A157" s="365"/>
      <c r="B157" s="391" t="s">
        <v>386</v>
      </c>
      <c r="C157" s="366"/>
      <c r="D157" s="366"/>
      <c r="E157" s="392">
        <v>208060.14999999999</v>
      </c>
      <c r="F157" s="366">
        <f>SUM(F158:F162)</f>
        <v>121356.02</v>
      </c>
      <c r="G157" s="393"/>
      <c r="H157" s="392">
        <v>232637.14999999999</v>
      </c>
      <c r="I157" s="366">
        <f>SUM(I158:I162)</f>
        <v>197242.5</v>
      </c>
      <c r="J157" s="393"/>
      <c r="K157" s="366"/>
      <c r="L157" s="366"/>
      <c r="M157" s="366"/>
      <c r="N157" s="370"/>
      <c r="O157" s="364"/>
      <c r="P157" s="371"/>
      <c r="Q157" s="364"/>
      <c r="R157" s="364"/>
      <c r="S157" s="364"/>
    </row>
    <row r="158" s="202" customFormat="1" ht="18" customHeight="1">
      <c r="A158" s="372">
        <v>137</v>
      </c>
      <c r="B158" s="394" t="s">
        <v>212</v>
      </c>
      <c r="C158" s="374"/>
      <c r="D158" s="374"/>
      <c r="E158" s="381">
        <v>56</v>
      </c>
      <c r="F158" s="389"/>
      <c r="G158" s="382"/>
      <c r="H158" s="381">
        <v>56</v>
      </c>
      <c r="I158" s="375"/>
      <c r="J158" s="382"/>
      <c r="K158" s="381"/>
      <c r="L158" s="389"/>
      <c r="M158" s="395"/>
      <c r="N158" s="377">
        <f t="shared" si="1759"/>
        <v>0</v>
      </c>
      <c r="O158" s="364"/>
      <c r="P158" s="364"/>
      <c r="Q158" s="364"/>
      <c r="R158" s="364"/>
      <c r="S158" s="364"/>
      <c r="T158" s="364"/>
    </row>
    <row r="159" s="202" customFormat="1" ht="18" customHeight="1">
      <c r="A159" s="378">
        <v>138</v>
      </c>
      <c r="B159" s="380" t="s">
        <v>213</v>
      </c>
      <c r="C159" s="235" t="s">
        <v>93</v>
      </c>
      <c r="D159" s="235" t="s">
        <v>1556</v>
      </c>
      <c r="E159" s="384">
        <v>60456.949999999997</v>
      </c>
      <c r="F159" s="389">
        <v>32709.560000000001</v>
      </c>
      <c r="G159" s="382">
        <v>0.54100000000000004</v>
      </c>
      <c r="H159" s="384">
        <v>71768.949999999997</v>
      </c>
      <c r="I159" s="375">
        <v>60552.639999999999</v>
      </c>
      <c r="J159" s="382">
        <v>0.84399999999999997</v>
      </c>
      <c r="K159" s="384">
        <v>72319.949999999997</v>
      </c>
      <c r="L159" s="389">
        <v>66723.229999999996</v>
      </c>
      <c r="M159" s="390">
        <v>0.92300000000000004</v>
      </c>
      <c r="N159" s="377">
        <f t="shared" si="1759"/>
        <v>2.61332790281384e-002</v>
      </c>
      <c r="O159" s="364"/>
      <c r="P159" s="364"/>
      <c r="Q159" s="364"/>
      <c r="R159" s="364"/>
      <c r="S159" s="364"/>
      <c r="T159" s="364"/>
    </row>
    <row r="160" s="202" customFormat="1" ht="18" customHeight="1">
      <c r="A160" s="378">
        <v>139</v>
      </c>
      <c r="B160" s="380" t="s">
        <v>214</v>
      </c>
      <c r="C160" s="235" t="s">
        <v>93</v>
      </c>
      <c r="D160" s="235" t="s">
        <v>1556</v>
      </c>
      <c r="E160" s="384">
        <v>54784.400000000001</v>
      </c>
      <c r="F160" s="389">
        <v>29994.869999999999</v>
      </c>
      <c r="G160" s="382">
        <v>0.54800000000000004</v>
      </c>
      <c r="H160" s="384">
        <v>60955.400000000001</v>
      </c>
      <c r="I160" s="375">
        <v>52930.779999999999</v>
      </c>
      <c r="J160" s="382">
        <v>0.86799999999999999</v>
      </c>
      <c r="K160" s="384">
        <v>61594.400000000001</v>
      </c>
      <c r="L160" s="389">
        <v>57843.940000000002</v>
      </c>
      <c r="M160" s="390">
        <v>0.93899999999999995</v>
      </c>
      <c r="N160" s="377">
        <f t="shared" si="1759"/>
        <v>2.2891153085778701e-002</v>
      </c>
      <c r="O160" s="364"/>
      <c r="P160" s="364"/>
      <c r="Q160" s="364"/>
      <c r="R160" s="364"/>
      <c r="S160" s="364"/>
      <c r="T160" s="364"/>
    </row>
    <row r="161" s="202" customFormat="1" ht="18" customHeight="1">
      <c r="A161" s="378">
        <v>140</v>
      </c>
      <c r="B161" s="380" t="s">
        <v>215</v>
      </c>
      <c r="C161" s="235" t="s">
        <v>93</v>
      </c>
      <c r="D161" s="235" t="s">
        <v>1556</v>
      </c>
      <c r="E161" s="384">
        <v>33129.800000000003</v>
      </c>
      <c r="F161" s="389">
        <v>23973.18</v>
      </c>
      <c r="G161" s="382">
        <v>0.72399999999999998</v>
      </c>
      <c r="H161" s="384">
        <v>36042.800000000003</v>
      </c>
      <c r="I161" s="375">
        <v>30551.470000000001</v>
      </c>
      <c r="J161" s="382">
        <v>0.84799999999999998</v>
      </c>
      <c r="K161" s="384">
        <v>36463.800000000003</v>
      </c>
      <c r="L161" s="389">
        <v>34375.040000000001</v>
      </c>
      <c r="M161" s="390">
        <v>0.94299999999999995</v>
      </c>
      <c r="N161" s="377">
        <f t="shared" si="1759"/>
        <v>1.42568935380519e-002</v>
      </c>
      <c r="O161" s="364"/>
      <c r="P161" s="364"/>
      <c r="Q161" s="364"/>
      <c r="R161" s="364"/>
      <c r="S161" s="364"/>
      <c r="T161" s="364"/>
    </row>
    <row r="162" s="202" customFormat="1" ht="18" customHeight="1">
      <c r="A162" s="378">
        <v>141</v>
      </c>
      <c r="B162" s="380" t="s">
        <v>216</v>
      </c>
      <c r="C162" s="235" t="s">
        <v>93</v>
      </c>
      <c r="D162" s="235" t="s">
        <v>1556</v>
      </c>
      <c r="E162" s="384">
        <v>59633</v>
      </c>
      <c r="F162" s="389">
        <v>34678.410000000003</v>
      </c>
      <c r="G162" s="382">
        <v>0.58199999999999996</v>
      </c>
      <c r="H162" s="384">
        <v>63814</v>
      </c>
      <c r="I162" s="375">
        <v>53207.610000000001</v>
      </c>
      <c r="J162" s="382">
        <v>0.83399999999999996</v>
      </c>
      <c r="K162" s="384">
        <v>64450</v>
      </c>
      <c r="L162" s="389">
        <v>62637.040000000001</v>
      </c>
      <c r="M162" s="390">
        <v>0.97199999999999998</v>
      </c>
      <c r="N162" s="377">
        <f t="shared" si="1759"/>
        <v>2.47119333593969e-002</v>
      </c>
      <c r="O162" s="364"/>
      <c r="P162" s="364"/>
      <c r="Q162" s="364"/>
      <c r="R162" s="364"/>
      <c r="S162" s="364"/>
      <c r="T162" s="364"/>
    </row>
    <row r="163" s="202" customFormat="1" ht="18" customHeight="1">
      <c r="A163" s="365"/>
      <c r="B163" s="391" t="s">
        <v>462</v>
      </c>
      <c r="C163" s="366"/>
      <c r="D163" s="366"/>
      <c r="E163" s="392">
        <v>116697</v>
      </c>
      <c r="F163" s="366">
        <f>SUM(F164:F167)</f>
        <v>60864.360000000001</v>
      </c>
      <c r="G163" s="393"/>
      <c r="H163" s="392">
        <v>125226</v>
      </c>
      <c r="I163" s="366">
        <f>SUM(I164:I167)</f>
        <v>99778.820000000007</v>
      </c>
      <c r="J163" s="393"/>
      <c r="K163" s="366"/>
      <c r="L163" s="366"/>
      <c r="M163" s="366"/>
      <c r="N163" s="370"/>
      <c r="O163" s="364"/>
      <c r="P163" s="371"/>
      <c r="Q163" s="364"/>
      <c r="R163" s="364"/>
      <c r="S163" s="364"/>
    </row>
    <row r="164" s="202" customFormat="1" ht="18" customHeight="1">
      <c r="A164" s="372">
        <v>142</v>
      </c>
      <c r="B164" s="394" t="s">
        <v>218</v>
      </c>
      <c r="C164" s="374"/>
      <c r="D164" s="374"/>
      <c r="E164" s="381">
        <v>20</v>
      </c>
      <c r="F164" s="389"/>
      <c r="G164" s="382"/>
      <c r="H164" s="381">
        <v>20</v>
      </c>
      <c r="I164" s="375"/>
      <c r="J164" s="382"/>
      <c r="K164" s="381"/>
      <c r="L164" s="389"/>
      <c r="M164" s="395"/>
      <c r="N164" s="377">
        <f t="shared" si="1759"/>
        <v>0</v>
      </c>
      <c r="O164" s="364"/>
      <c r="P164" s="364"/>
      <c r="Q164" s="364"/>
      <c r="R164" s="364"/>
      <c r="S164" s="364"/>
      <c r="T164" s="364"/>
    </row>
    <row r="165" s="202" customFormat="1" ht="18" customHeight="1">
      <c r="A165" s="378">
        <v>143</v>
      </c>
      <c r="B165" s="380" t="s">
        <v>219</v>
      </c>
      <c r="C165" s="235" t="s">
        <v>93</v>
      </c>
      <c r="D165" s="235" t="s">
        <v>1556</v>
      </c>
      <c r="E165" s="381">
        <v>32289</v>
      </c>
      <c r="F165" s="389">
        <v>16446.540000000001</v>
      </c>
      <c r="G165" s="382">
        <v>0.50900000000000001</v>
      </c>
      <c r="H165" s="381">
        <v>35393</v>
      </c>
      <c r="I165" s="375">
        <v>25799.209999999999</v>
      </c>
      <c r="J165" s="382">
        <v>0.72899999999999998</v>
      </c>
      <c r="K165" s="381">
        <v>35393</v>
      </c>
      <c r="L165" s="389">
        <v>31160.41</v>
      </c>
      <c r="M165" s="390">
        <v>0.88</v>
      </c>
      <c r="N165" s="377">
        <f t="shared" si="1759"/>
        <v>1.29663814979052e-002</v>
      </c>
      <c r="O165" s="364"/>
      <c r="P165" s="364"/>
      <c r="Q165" s="364"/>
      <c r="R165" s="364"/>
      <c r="S165" s="364"/>
      <c r="T165" s="364"/>
    </row>
    <row r="166" s="202" customFormat="1" ht="18" customHeight="1">
      <c r="A166" s="378">
        <v>144</v>
      </c>
      <c r="B166" s="380" t="s">
        <v>220</v>
      </c>
      <c r="C166" s="235" t="s">
        <v>93</v>
      </c>
      <c r="D166" s="235" t="s">
        <v>1556</v>
      </c>
      <c r="E166" s="384">
        <v>27265</v>
      </c>
      <c r="F166" s="389">
        <v>15514.99</v>
      </c>
      <c r="G166" s="382">
        <v>0.56899999999999995</v>
      </c>
      <c r="H166" s="384">
        <v>29809</v>
      </c>
      <c r="I166" s="375">
        <v>24942.200000000001</v>
      </c>
      <c r="J166" s="382">
        <v>0.83699999999999997</v>
      </c>
      <c r="K166" s="384">
        <v>30015</v>
      </c>
      <c r="L166" s="389">
        <v>28390.720000000001</v>
      </c>
      <c r="M166" s="390">
        <v>0.94599999999999995</v>
      </c>
      <c r="N166" s="377">
        <f t="shared" si="1759"/>
        <v>1.20586093352547e-002</v>
      </c>
      <c r="O166" s="364"/>
      <c r="P166" s="364"/>
      <c r="Q166" s="364"/>
      <c r="R166" s="364"/>
      <c r="S166" s="364"/>
      <c r="T166" s="364"/>
    </row>
    <row r="167" s="202" customFormat="1" ht="18" customHeight="1">
      <c r="A167" s="378">
        <v>145</v>
      </c>
      <c r="B167" s="380" t="s">
        <v>221</v>
      </c>
      <c r="C167" s="235" t="s">
        <v>93</v>
      </c>
      <c r="D167" s="235" t="s">
        <v>1556</v>
      </c>
      <c r="E167" s="384">
        <v>57123</v>
      </c>
      <c r="F167" s="389">
        <v>28902.830000000002</v>
      </c>
      <c r="G167" s="382">
        <v>0.50600000000000001</v>
      </c>
      <c r="H167" s="384">
        <v>60004</v>
      </c>
      <c r="I167" s="375">
        <v>49037.410000000003</v>
      </c>
      <c r="J167" s="382">
        <v>0.81699999999999995</v>
      </c>
      <c r="K167" s="384">
        <v>60598</v>
      </c>
      <c r="L167" s="389">
        <v>58898.309999999998</v>
      </c>
      <c r="M167" s="390">
        <v>0.97199999999999998</v>
      </c>
      <c r="N167" s="377">
        <f t="shared" si="1759"/>
        <v>2.33353650440076e-002</v>
      </c>
      <c r="O167" s="364"/>
      <c r="P167" s="364"/>
      <c r="Q167" s="364"/>
      <c r="R167" s="364"/>
      <c r="S167" s="364"/>
      <c r="T167" s="364"/>
    </row>
  </sheetData>
  <autoFilter ref="5:167"/>
  <mergeCells count="19">
    <mergeCell ref="A2:N2"/>
    <mergeCell ref="E3:G3"/>
    <mergeCell ref="H3:J3"/>
    <mergeCell ref="K3:M3"/>
    <mergeCell ref="A6:B6"/>
    <mergeCell ref="A3:A5"/>
    <mergeCell ref="B3:B5"/>
    <mergeCell ref="C3:C5"/>
    <mergeCell ref="D3:D5"/>
    <mergeCell ref="E4:E5"/>
    <mergeCell ref="F4:F5"/>
    <mergeCell ref="G4:G5"/>
    <mergeCell ref="H4:H5"/>
    <mergeCell ref="I4:I5"/>
    <mergeCell ref="J4:J5"/>
    <mergeCell ref="K4:K5"/>
    <mergeCell ref="L4:L5"/>
    <mergeCell ref="M4:M5"/>
    <mergeCell ref="N3:N5"/>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6">
    <tabColor indexed="2"/>
    <outlinePr applyStyles="0" summaryBelow="1" summaryRight="1" showOutlineSymbols="1"/>
    <pageSetUpPr autoPageBreaks="1" fitToPage="0"/>
  </sheetPr>
  <sheetViews>
    <sheetView zoomScale="100" workbookViewId="0">
      <pane xSplit="2" ySplit="9" topLeftCell="C10" activePane="bottomRight" state="frozen"/>
      <selection activeCell="AX4" activeCellId="0" sqref="AX4:AX7"/>
    </sheetView>
  </sheetViews>
  <sheetFormatPr defaultColWidth="9" defaultRowHeight="13.5"/>
  <cols>
    <col customWidth="1" min="1" max="1" style="1" width="4.875"/>
    <col customWidth="1" min="2" max="2" style="2" width="10.883333333333301"/>
    <col customWidth="1" min="3" max="3" style="1" width="8.125"/>
    <col customWidth="1" hidden="1" min="4" max="4" style="1" width="6.2583333333333302"/>
    <col customWidth="1" min="5" max="6" style="1" width="6.2583333333333302"/>
    <col customWidth="1" min="7" max="13" style="1" width="7.625"/>
    <col customWidth="1" min="14" max="14" style="4" width="7.625"/>
    <col customWidth="1" hidden="1" min="15" max="15" style="1" width="7.625"/>
    <col customWidth="1" min="16" max="17" style="1" width="7.625"/>
    <col customWidth="1" min="18" max="18" style="4" width="10.125"/>
    <col customWidth="1" min="19" max="19" style="4" width="9.875"/>
    <col customWidth="1" min="20" max="21" style="4" width="7.625"/>
    <col customWidth="1" min="22" max="22" style="1" width="7.625"/>
    <col customWidth="1" min="23" max="23" style="4" width="7.625"/>
    <col customWidth="1" min="24" max="27" style="1" width="7.625"/>
    <col customWidth="1" min="28" max="28" style="126" width="7.625"/>
    <col customWidth="1" min="29" max="29" style="3" width="7.625"/>
    <col customWidth="1" hidden="1" min="30" max="31" style="3" width="4.375"/>
    <col customWidth="1" min="32" max="37" style="3" width="7.625"/>
    <col customWidth="1" hidden="1" min="38" max="38" style="128" width="4.875"/>
    <col customWidth="1" hidden="1" min="39" max="39" style="126" width="4.875"/>
    <col customWidth="1" min="40" max="40" style="3" width="12.5"/>
    <col customWidth="1" hidden="1" min="41" max="41" style="127" width="7.625"/>
    <col customWidth="1" min="42" max="42" style="127" width="7.625"/>
    <col customWidth="1" min="43" max="45" style="3" width="7.625"/>
    <col customWidth="1" min="46" max="46" style="398" width="7.625"/>
    <col customWidth="1" min="47" max="47" style="3" width="7.625"/>
    <col customWidth="1" hidden="1" min="48" max="48" style="127" width="4.7583333333333302"/>
    <col customWidth="1" hidden="1" min="49" max="49" style="3" width="4.7583333333333302"/>
    <col customWidth="1" min="50" max="50" style="130" width="9.2583333333333293"/>
    <col customWidth="1" min="51" max="51" style="1" width="8.5"/>
    <col customWidth="1" min="52" max="52" style="1" width="7.625"/>
    <col customWidth="1" min="53" max="53" style="4" width="7.625"/>
    <col customWidth="1" min="54" max="54" style="1" width="7.625"/>
    <col customWidth="1" min="55" max="55" style="4" width="9.4083333333333297"/>
    <col customWidth="1" min="56" max="56" style="4" width="7.625"/>
    <col customWidth="1" min="57" max="57" width="12.625"/>
    <col customWidth="1" min="58" max="58" width="11.175000000000001"/>
    <col customWidth="1" min="59" max="59" width="9.375"/>
    <col customWidth="1" min="60" max="60" width="9"/>
  </cols>
  <sheetData>
    <row r="1" s="0" customFormat="1" ht="16" hidden="1" customHeight="1">
      <c r="A1" s="1" t="s">
        <v>0</v>
      </c>
      <c r="B1" s="2"/>
      <c r="C1" s="1"/>
      <c r="D1" s="1"/>
      <c r="E1" s="1"/>
      <c r="F1" s="6"/>
      <c r="G1" s="4"/>
      <c r="H1" s="4"/>
      <c r="I1" s="4"/>
      <c r="J1" s="4"/>
      <c r="K1" s="4"/>
      <c r="L1" s="4"/>
      <c r="M1" s="4"/>
      <c r="N1" s="4"/>
      <c r="O1" s="126" t="s">
        <v>1509</v>
      </c>
      <c r="P1" s="4">
        <f>P38/$P$9*100000</f>
        <v>14635.329730454199</v>
      </c>
      <c r="Q1" s="4"/>
      <c r="R1" s="4">
        <f>P39/$P$9*100000</f>
        <v>9874.3555422703394</v>
      </c>
      <c r="S1" s="4"/>
      <c r="T1" s="4"/>
      <c r="U1" s="4"/>
      <c r="V1" s="131">
        <f>V3/1348663</f>
        <v>2.44686029529358e-007</v>
      </c>
      <c r="W1" s="4"/>
      <c r="X1" s="4"/>
      <c r="Y1" s="4"/>
      <c r="Z1" s="4"/>
      <c r="AA1" s="131">
        <f>AA3/1348663</f>
        <v>8.8976738010675506e-008</v>
      </c>
      <c r="AB1" s="4"/>
      <c r="AC1" s="131">
        <f>AC3/1348663</f>
        <v>2.22441845026689e-008</v>
      </c>
      <c r="AD1" s="131"/>
      <c r="AE1" s="131">
        <f>AE3/1348663</f>
        <v>0</v>
      </c>
      <c r="AF1" s="4"/>
      <c r="AG1" s="4"/>
      <c r="AH1" s="131">
        <f>AH3/1348663</f>
        <v>1.4829456335112599e-008</v>
      </c>
      <c r="AI1" s="131"/>
      <c r="AJ1" s="131"/>
      <c r="AK1" s="131">
        <f>AK3/1348663</f>
        <v>1.4829456335112599e-008</v>
      </c>
      <c r="AL1" s="133"/>
      <c r="AM1" s="131">
        <f>AM3/1348663</f>
        <v>0</v>
      </c>
      <c r="AN1" s="131">
        <f>AN9/AX3</f>
        <v>0.42463191464809702</v>
      </c>
      <c r="AO1" s="132"/>
      <c r="AP1" s="132"/>
      <c r="AQ1" s="129">
        <f>AQ3/1348663</f>
        <v>2.2908529117462601e-008</v>
      </c>
      <c r="AR1" s="4"/>
      <c r="AS1" s="129">
        <f>AS3/1348663</f>
        <v>2.2908529117462601e-008</v>
      </c>
      <c r="AT1" s="129"/>
      <c r="AU1" s="131">
        <f>AU3/1348663</f>
        <v>1.46935568476375e-008</v>
      </c>
      <c r="AV1" s="134"/>
      <c r="AX1" s="137"/>
      <c r="AY1" s="1"/>
      <c r="AZ1" s="1"/>
      <c r="BA1" s="4" t="e">
        <f>AX3-AU9-AS9-AQ9-#REF!-AM9-AK9-AH9-AE9-AC9-AA9-V9</f>
        <v>#REF!</v>
      </c>
      <c r="BB1" s="1"/>
      <c r="BC1" s="4"/>
      <c r="BD1" s="4"/>
    </row>
    <row r="2" ht="51" customHeight="1">
      <c r="A2" s="7" t="s">
        <v>1557</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row>
    <row r="3" ht="16" customHeight="1">
      <c r="A3" s="3"/>
      <c r="B3" s="9"/>
      <c r="C3" s="3"/>
      <c r="D3" s="3"/>
      <c r="E3" s="3"/>
      <c r="F3" s="3"/>
      <c r="G3" s="6"/>
      <c r="H3" s="6"/>
      <c r="I3" s="6"/>
      <c r="J3" s="6"/>
      <c r="K3" s="6"/>
      <c r="L3" s="6"/>
      <c r="M3" s="6"/>
      <c r="N3" s="142"/>
      <c r="O3" s="6"/>
      <c r="P3" s="142"/>
      <c r="Q3" s="142"/>
      <c r="R3" s="142"/>
      <c r="S3" s="142"/>
      <c r="T3" s="142"/>
      <c r="U3" s="142"/>
      <c r="V3" s="399">
        <f>V9/298699.91</f>
        <v>0.32999899464315202</v>
      </c>
      <c r="W3" s="142"/>
      <c r="X3" s="6"/>
      <c r="Y3" s="6"/>
      <c r="Z3" s="6"/>
      <c r="AA3" s="399">
        <f>AA9/298699.91</f>
        <v>0.119999634415692</v>
      </c>
      <c r="AC3" s="399">
        <f>AC9/298699.91</f>
        <v>2.99999086039229e-002</v>
      </c>
      <c r="AD3" s="130"/>
      <c r="AE3" s="130">
        <f>AE184+AE178+AE171+AE163+AE155+AE147+AE132+AE119+AE113+AE100+AE89+AE73+AE61+AE49+AE35+AE18</f>
        <v>0</v>
      </c>
      <c r="AH3" s="399">
        <f>AH9/298699.91</f>
        <v>1.9999939069281901e-002</v>
      </c>
      <c r="AI3" s="130"/>
      <c r="AJ3" s="130"/>
      <c r="AK3" s="399">
        <f>AK9/298699.91</f>
        <v>1.9999939069282002e-002</v>
      </c>
      <c r="AM3" s="130">
        <f>AM184+AM178+AM171+AM163+AM155+AM147+AM132+AM119+AM113+AM100+AM89+AM73+AM61+AM49+AM35+AM18</f>
        <v>0</v>
      </c>
      <c r="AN3" s="399">
        <f t="shared" ref="AN3:AS3" si="1760">AN9/298699.91</f>
        <v>0.39839315652957502</v>
      </c>
      <c r="AQ3" s="399">
        <f t="shared" si="1760"/>
        <v>3.0895885605144498e-002</v>
      </c>
      <c r="AS3" s="399">
        <f t="shared" si="1760"/>
        <v>3.0895885605144498e-002</v>
      </c>
      <c r="AU3" s="399">
        <f>AU9/298699.91</f>
        <v>1.9816656458805398e-002</v>
      </c>
      <c r="AW3" s="6"/>
      <c r="AX3" s="130">
        <f>V9+AA9+AC9+AH9+AK9+AN9+AU9</f>
        <v>280242.713500746</v>
      </c>
      <c r="AY3" s="3">
        <v>298699.90999999997</v>
      </c>
      <c r="AZ3" s="3">
        <f>AY3-AX3</f>
        <v>18457.1964992539</v>
      </c>
      <c r="BA3" s="400">
        <f>AZ3/AY3</f>
        <v>6.1791771210288997e-002</v>
      </c>
      <c r="BB3" s="6"/>
      <c r="BC3" s="142"/>
      <c r="BD3" s="142"/>
    </row>
    <row r="4" s="10" customFormat="1" ht="18" customHeight="1">
      <c r="A4" s="11" t="s">
        <v>3</v>
      </c>
      <c r="B4" s="11" t="s">
        <v>4</v>
      </c>
      <c r="C4" s="11" t="s">
        <v>5</v>
      </c>
      <c r="D4" s="11" t="s">
        <v>6</v>
      </c>
      <c r="E4" s="11" t="s">
        <v>7</v>
      </c>
      <c r="F4" s="11" t="s">
        <v>8</v>
      </c>
      <c r="G4" s="13" t="s">
        <v>1558</v>
      </c>
      <c r="H4" s="13"/>
      <c r="I4" s="13"/>
      <c r="J4" s="13"/>
      <c r="K4" s="13"/>
      <c r="L4" s="13"/>
      <c r="M4" s="13"/>
      <c r="N4" s="146"/>
      <c r="O4" s="13"/>
      <c r="P4" s="13"/>
      <c r="Q4" s="13"/>
      <c r="R4" s="146"/>
      <c r="S4" s="146"/>
      <c r="T4" s="146"/>
      <c r="U4" s="146"/>
      <c r="V4" s="13"/>
      <c r="W4" s="146" t="s">
        <v>1512</v>
      </c>
      <c r="X4" s="13"/>
      <c r="Y4" s="13"/>
      <c r="Z4" s="13"/>
      <c r="AA4" s="13"/>
      <c r="AB4" s="146" t="s">
        <v>1559</v>
      </c>
      <c r="AC4" s="146"/>
      <c r="AD4" s="146"/>
      <c r="AE4" s="146"/>
      <c r="AF4" s="146"/>
      <c r="AG4" s="146"/>
      <c r="AH4" s="146"/>
      <c r="AI4" s="146"/>
      <c r="AJ4" s="146"/>
      <c r="AK4" s="146"/>
      <c r="AL4" s="146"/>
      <c r="AM4" s="146"/>
      <c r="AN4" s="146"/>
      <c r="AO4" s="149" t="s">
        <v>1514</v>
      </c>
      <c r="AP4" s="149"/>
      <c r="AQ4" s="150"/>
      <c r="AR4" s="150"/>
      <c r="AS4" s="150"/>
      <c r="AT4" s="150"/>
      <c r="AU4" s="150"/>
      <c r="AV4" s="150"/>
      <c r="AW4" s="150"/>
      <c r="AX4" s="26" t="s">
        <v>404</v>
      </c>
      <c r="AY4" s="152" t="s">
        <v>396</v>
      </c>
      <c r="AZ4" s="145" t="s">
        <v>1560</v>
      </c>
      <c r="BA4" s="26" t="s">
        <v>1561</v>
      </c>
      <c r="BB4" s="15" t="s">
        <v>1562</v>
      </c>
      <c r="BC4" s="25" t="s">
        <v>1563</v>
      </c>
      <c r="BD4" s="26" t="s">
        <v>1564</v>
      </c>
      <c r="BF4" s="323"/>
      <c r="BG4" s="323"/>
    </row>
    <row r="5" s="10" customFormat="1" ht="56" customHeight="1">
      <c r="A5" s="18"/>
      <c r="B5" s="18"/>
      <c r="C5" s="18"/>
      <c r="D5" s="18"/>
      <c r="E5" s="18"/>
      <c r="F5" s="18"/>
      <c r="G5" s="14" t="s">
        <v>1516</v>
      </c>
      <c r="H5" s="14"/>
      <c r="I5" s="14"/>
      <c r="J5" s="14"/>
      <c r="K5" s="14"/>
      <c r="L5" s="14"/>
      <c r="M5" s="14"/>
      <c r="N5" s="25" t="s">
        <v>1517</v>
      </c>
      <c r="O5" s="14" t="s">
        <v>1565</v>
      </c>
      <c r="P5" s="14"/>
      <c r="Q5" s="14"/>
      <c r="R5" s="14"/>
      <c r="S5" s="14"/>
      <c r="T5" s="14"/>
      <c r="U5" s="14" t="s">
        <v>412</v>
      </c>
      <c r="V5" s="15" t="s">
        <v>23</v>
      </c>
      <c r="W5" s="146"/>
      <c r="X5" s="13"/>
      <c r="Y5" s="13"/>
      <c r="Z5" s="13"/>
      <c r="AA5" s="13"/>
      <c r="AB5" s="146"/>
      <c r="AC5" s="146"/>
      <c r="AD5" s="146"/>
      <c r="AE5" s="146"/>
      <c r="AF5" s="146"/>
      <c r="AG5" s="146"/>
      <c r="AH5" s="146"/>
      <c r="AI5" s="146"/>
      <c r="AJ5" s="146"/>
      <c r="AK5" s="146"/>
      <c r="AL5" s="146"/>
      <c r="AM5" s="146"/>
      <c r="AN5" s="146"/>
      <c r="AO5" s="149"/>
      <c r="AP5" s="149"/>
      <c r="AQ5" s="150"/>
      <c r="AR5" s="150"/>
      <c r="AS5" s="150"/>
      <c r="AT5" s="150"/>
      <c r="AU5" s="150"/>
      <c r="AV5" s="150"/>
      <c r="AW5" s="150"/>
      <c r="AX5" s="26"/>
      <c r="AY5" s="152"/>
      <c r="AZ5" s="154"/>
      <c r="BA5" s="26"/>
      <c r="BB5" s="15"/>
      <c r="BC5" s="25"/>
      <c r="BD5" s="26"/>
      <c r="BF5" s="323"/>
      <c r="BG5" s="323"/>
    </row>
    <row r="6" s="10" customFormat="1" ht="51" customHeight="1">
      <c r="A6" s="18"/>
      <c r="B6" s="18"/>
      <c r="C6" s="18"/>
      <c r="D6" s="18"/>
      <c r="E6" s="18"/>
      <c r="F6" s="18"/>
      <c r="G6" s="20" t="s">
        <v>24</v>
      </c>
      <c r="H6" s="20" t="s">
        <v>25</v>
      </c>
      <c r="I6" s="20"/>
      <c r="J6" s="20"/>
      <c r="K6" s="20"/>
      <c r="L6" s="20"/>
      <c r="M6" s="20"/>
      <c r="N6" s="25"/>
      <c r="O6" s="20" t="s">
        <v>26</v>
      </c>
      <c r="P6" s="20" t="s">
        <v>1518</v>
      </c>
      <c r="Q6" s="20"/>
      <c r="R6" s="20"/>
      <c r="S6" s="20"/>
      <c r="T6" s="20"/>
      <c r="U6" s="14"/>
      <c r="V6" s="15"/>
      <c r="W6" s="25" t="s">
        <v>414</v>
      </c>
      <c r="X6" s="14" t="s">
        <v>415</v>
      </c>
      <c r="Y6" s="14" t="s">
        <v>29</v>
      </c>
      <c r="Z6" s="14" t="s">
        <v>416</v>
      </c>
      <c r="AA6" s="15" t="s">
        <v>23</v>
      </c>
      <c r="AB6" s="25" t="s">
        <v>1566</v>
      </c>
      <c r="AC6" s="25"/>
      <c r="AD6" s="14"/>
      <c r="AE6" s="23"/>
      <c r="AF6" s="14" t="s">
        <v>1567</v>
      </c>
      <c r="AG6" s="14"/>
      <c r="AH6" s="14"/>
      <c r="AI6" s="14"/>
      <c r="AJ6" s="14"/>
      <c r="AK6" s="14"/>
      <c r="AL6" s="14"/>
      <c r="AM6" s="25"/>
      <c r="AN6" s="25" t="s">
        <v>1568</v>
      </c>
      <c r="AO6" s="149" t="s">
        <v>1569</v>
      </c>
      <c r="AP6" s="149" t="s">
        <v>1570</v>
      </c>
      <c r="AQ6" s="26" t="s">
        <v>1571</v>
      </c>
      <c r="AR6" s="149" t="s">
        <v>1572</v>
      </c>
      <c r="AS6" s="26" t="s">
        <v>1571</v>
      </c>
      <c r="AT6" s="150" t="s">
        <v>1573</v>
      </c>
      <c r="AU6" s="149"/>
      <c r="AV6" s="149"/>
      <c r="AW6" s="14"/>
      <c r="AX6" s="26"/>
      <c r="AY6" s="152"/>
      <c r="AZ6" s="154"/>
      <c r="BA6" s="26"/>
      <c r="BB6" s="15"/>
      <c r="BC6" s="25"/>
      <c r="BD6" s="26"/>
      <c r="BF6" s="323"/>
      <c r="BG6" s="323"/>
    </row>
    <row r="7" s="10" customFormat="1" ht="63" customHeight="1">
      <c r="A7" s="21"/>
      <c r="B7" s="21"/>
      <c r="C7" s="21"/>
      <c r="D7" s="21"/>
      <c r="E7" s="21"/>
      <c r="F7" s="21"/>
      <c r="G7" s="20"/>
      <c r="H7" s="20" t="s">
        <v>36</v>
      </c>
      <c r="I7" s="20" t="s">
        <v>1529</v>
      </c>
      <c r="J7" s="20" t="s">
        <v>1530</v>
      </c>
      <c r="K7" s="20" t="s">
        <v>1531</v>
      </c>
      <c r="L7" s="20" t="s">
        <v>1532</v>
      </c>
      <c r="M7" s="20" t="s">
        <v>41</v>
      </c>
      <c r="N7" s="25"/>
      <c r="O7" s="20"/>
      <c r="P7" s="20" t="s">
        <v>36</v>
      </c>
      <c r="Q7" s="20" t="s">
        <v>1533</v>
      </c>
      <c r="R7" s="25" t="s">
        <v>1534</v>
      </c>
      <c r="S7" s="25" t="s">
        <v>1535</v>
      </c>
      <c r="T7" s="25" t="s">
        <v>1536</v>
      </c>
      <c r="U7" s="14"/>
      <c r="V7" s="15"/>
      <c r="W7" s="156"/>
      <c r="X7" s="23"/>
      <c r="Y7" s="14"/>
      <c r="Z7" s="14"/>
      <c r="AA7" s="24"/>
      <c r="AB7" s="156" t="s">
        <v>430</v>
      </c>
      <c r="AC7" s="26" t="s">
        <v>23</v>
      </c>
      <c r="AD7" s="25"/>
      <c r="AE7" s="26"/>
      <c r="AF7" s="14" t="s">
        <v>1574</v>
      </c>
      <c r="AG7" s="14" t="s">
        <v>1539</v>
      </c>
      <c r="AH7" s="26" t="s">
        <v>23</v>
      </c>
      <c r="AI7" s="25" t="s">
        <v>1575</v>
      </c>
      <c r="AJ7" s="25" t="s">
        <v>1541</v>
      </c>
      <c r="AK7" s="26" t="s">
        <v>23</v>
      </c>
      <c r="AL7" s="401"/>
      <c r="AM7" s="26"/>
      <c r="AN7" s="26" t="s">
        <v>23</v>
      </c>
      <c r="AO7" s="149"/>
      <c r="AP7" s="149"/>
      <c r="AQ7" s="26"/>
      <c r="AR7" s="149"/>
      <c r="AS7" s="26"/>
      <c r="AT7" s="150" t="s">
        <v>1576</v>
      </c>
      <c r="AU7" s="26" t="s">
        <v>23</v>
      </c>
      <c r="AV7" s="149"/>
      <c r="AW7" s="26"/>
      <c r="AX7" s="26"/>
      <c r="AY7" s="152"/>
      <c r="AZ7" s="157"/>
      <c r="BA7" s="26"/>
      <c r="BB7" s="15"/>
      <c r="BC7" s="25"/>
      <c r="BD7" s="26"/>
      <c r="BF7" s="323"/>
      <c r="BG7" s="323"/>
    </row>
    <row r="8" s="10" customFormat="1" ht="24" customHeight="1">
      <c r="A8" s="20"/>
      <c r="B8" s="20"/>
      <c r="C8" s="20"/>
      <c r="D8" s="20"/>
      <c r="E8" s="20"/>
      <c r="F8" s="20"/>
      <c r="G8" s="28">
        <v>1</v>
      </c>
      <c r="H8" s="20">
        <v>2</v>
      </c>
      <c r="I8" s="28">
        <v>3</v>
      </c>
      <c r="J8" s="20">
        <v>4</v>
      </c>
      <c r="K8" s="28">
        <v>5</v>
      </c>
      <c r="L8" s="20">
        <v>6</v>
      </c>
      <c r="M8" s="28">
        <v>7</v>
      </c>
      <c r="N8" s="20">
        <v>3</v>
      </c>
      <c r="O8" s="28">
        <v>9</v>
      </c>
      <c r="P8" s="20">
        <v>4</v>
      </c>
      <c r="Q8" s="28">
        <v>5</v>
      </c>
      <c r="R8" s="20">
        <v>6</v>
      </c>
      <c r="S8" s="28">
        <v>7</v>
      </c>
      <c r="T8" s="20">
        <v>8</v>
      </c>
      <c r="U8" s="28">
        <v>9</v>
      </c>
      <c r="V8" s="20">
        <v>10</v>
      </c>
      <c r="W8" s="28">
        <v>11</v>
      </c>
      <c r="X8" s="20">
        <v>18</v>
      </c>
      <c r="Y8" s="28">
        <v>12</v>
      </c>
      <c r="Z8" s="20">
        <v>13</v>
      </c>
      <c r="AA8" s="28">
        <v>14</v>
      </c>
      <c r="AB8" s="20">
        <v>15</v>
      </c>
      <c r="AC8" s="28">
        <v>16</v>
      </c>
      <c r="AD8" s="20"/>
      <c r="AE8" s="28"/>
      <c r="AF8" s="20">
        <v>26</v>
      </c>
      <c r="AG8" s="28">
        <v>27</v>
      </c>
      <c r="AH8" s="20">
        <v>28</v>
      </c>
      <c r="AI8" s="28">
        <v>29</v>
      </c>
      <c r="AJ8" s="20">
        <v>30</v>
      </c>
      <c r="AK8" s="28">
        <v>31</v>
      </c>
      <c r="AL8" s="20"/>
      <c r="AM8" s="28"/>
      <c r="AN8" s="20">
        <v>17</v>
      </c>
      <c r="AO8" s="28">
        <v>37</v>
      </c>
      <c r="AP8" s="20">
        <v>18</v>
      </c>
      <c r="AQ8" s="28">
        <v>19</v>
      </c>
      <c r="AR8" s="20">
        <v>20</v>
      </c>
      <c r="AS8" s="28">
        <v>21</v>
      </c>
      <c r="AT8" s="28">
        <v>22</v>
      </c>
      <c r="AU8" s="28">
        <v>23</v>
      </c>
      <c r="AV8" s="20"/>
      <c r="AW8" s="28"/>
      <c r="AX8" s="20">
        <v>24</v>
      </c>
      <c r="AY8" s="28">
        <v>25</v>
      </c>
      <c r="AZ8" s="20">
        <v>26</v>
      </c>
      <c r="BA8" s="28">
        <v>27</v>
      </c>
      <c r="BB8" s="20">
        <v>28</v>
      </c>
      <c r="BC8" s="29">
        <v>29</v>
      </c>
      <c r="BD8" s="29">
        <v>30</v>
      </c>
    </row>
    <row r="9" s="5" customFormat="1" ht="17" customHeight="1">
      <c r="A9" s="31"/>
      <c r="B9" s="32" t="s">
        <v>55</v>
      </c>
      <c r="C9" s="33">
        <v>0</v>
      </c>
      <c r="D9" s="34"/>
      <c r="E9" s="34"/>
      <c r="F9" s="35"/>
      <c r="G9" s="37">
        <f t="shared" ref="G9:P9" si="1761">SUM(SUMIF($C:$C,"1",G:G))</f>
        <v>6652993</v>
      </c>
      <c r="H9" s="38">
        <f t="shared" si="1761"/>
        <v>5716278.7999999998</v>
      </c>
      <c r="I9" s="37">
        <f t="shared" si="1761"/>
        <v>353254.79999999999</v>
      </c>
      <c r="J9" s="37">
        <f t="shared" si="1761"/>
        <v>347075.40000000002</v>
      </c>
      <c r="K9" s="37">
        <f t="shared" si="1761"/>
        <v>1124051.2</v>
      </c>
      <c r="L9" s="37">
        <f t="shared" si="1761"/>
        <v>2443064.3999999999</v>
      </c>
      <c r="M9" s="37">
        <f t="shared" si="1761"/>
        <v>1448833</v>
      </c>
      <c r="N9" s="37">
        <f t="shared" si="1761"/>
        <v>896860</v>
      </c>
      <c r="O9" s="37">
        <f t="shared" si="1761"/>
        <v>996117</v>
      </c>
      <c r="P9" s="37">
        <f t="shared" si="1761"/>
        <v>453637.20000000001</v>
      </c>
      <c r="Q9" s="37">
        <v>107490</v>
      </c>
      <c r="R9" s="37">
        <f>SUM(SUMIF($C:$C,"1",R:R))</f>
        <v>58954</v>
      </c>
      <c r="S9" s="37">
        <f>SUM(SUMIF($C:$C,"1",S:S))</f>
        <v>254085</v>
      </c>
      <c r="T9" s="37">
        <f>SUM(SUMIF($C:$C,"1",T:T))</f>
        <v>70316</v>
      </c>
      <c r="U9" s="37">
        <f>SUM(SUMIF($C:$C,"1",U:U))</f>
        <v>147475</v>
      </c>
      <c r="V9" s="39">
        <f>SUM(SUMIF($C:$C,"1",V:V))</f>
        <v>98570.669999999998</v>
      </c>
      <c r="W9" s="37">
        <v>11378.84</v>
      </c>
      <c r="X9" s="41">
        <f t="shared" ref="X9:AC9" si="1762">SUM(SUMIF($C:$C,"1",X:X))</f>
        <v>74.865674146605997</v>
      </c>
      <c r="Y9" s="41">
        <f t="shared" si="1762"/>
        <v>519.04199821930501</v>
      </c>
      <c r="Z9" s="41">
        <f t="shared" si="1762"/>
        <v>452.45458784593302</v>
      </c>
      <c r="AA9" s="39">
        <f t="shared" si="1762"/>
        <v>35843.879999999997</v>
      </c>
      <c r="AB9" s="37">
        <f t="shared" si="1762"/>
        <v>710268.24523200002</v>
      </c>
      <c r="AC9" s="37">
        <f t="shared" si="1762"/>
        <v>8960.9699999999993</v>
      </c>
      <c r="AD9" s="37"/>
      <c r="AE9" s="39"/>
      <c r="AF9" s="37">
        <f>SUM(SUMIF($C:$C,"1",AF:AF))-AF22-AF23-AF24-AF25-AF26</f>
        <v>4006</v>
      </c>
      <c r="AG9" s="37">
        <f>SUM(SUMIF($C:$C,"1",AG:AG))-AG22-AG23-AG24-AG25-AG26</f>
        <v>3543.5</v>
      </c>
      <c r="AH9" s="37">
        <f>SUM(SUMIF($C:$C,"1",AH:AH))</f>
        <v>5973.9799999999996</v>
      </c>
      <c r="AI9" s="37">
        <f>SUM(SUMIF($C:$C,"1",AI:AI))-AI22-AI23-AI24-AI25-AI26</f>
        <v>101.244591565037</v>
      </c>
      <c r="AJ9" s="37">
        <f>SUM(SUMIF($C:$C,"1",AJ:AJ))-AJ22-AJ23-AJ24-AJ25-AJ26</f>
        <v>87.547642783475396</v>
      </c>
      <c r="AK9" s="37">
        <f>SUM(SUMIF($C:$C,"1",AK:AK))</f>
        <v>5973.9799999999996</v>
      </c>
      <c r="AL9" s="37"/>
      <c r="AM9" s="37"/>
      <c r="AN9" s="37">
        <f>SUM(SUMIF($C:$C,"1",AN:AN))</f>
        <v>119000</v>
      </c>
      <c r="AO9" s="39"/>
      <c r="AP9" s="39"/>
      <c r="AQ9" s="39">
        <f>SUM(SUMIF($C:$C,"1",AQ:AQ))</f>
        <v>9228.5982496269608</v>
      </c>
      <c r="AR9" s="39"/>
      <c r="AS9" s="39">
        <f>SUM(SUMIF($C:$C,"1",AS:AS))</f>
        <v>9228.5982496269608</v>
      </c>
      <c r="AT9" s="37">
        <f>SUM(SUMIF($C:$C,"1",AT:AT))</f>
        <v>1</v>
      </c>
      <c r="AU9" s="37">
        <f>SUM(SUMIF($C:$C,"1",AU:AU))</f>
        <v>5919.2335007460897</v>
      </c>
      <c r="AV9" s="37"/>
      <c r="AW9" s="37"/>
      <c r="AX9" s="41">
        <f>SUM(SUMIF($C:$C,"1",AX:AX))</f>
        <v>280243</v>
      </c>
      <c r="AY9" s="37">
        <v>299423</v>
      </c>
      <c r="AZ9" s="37">
        <f>SUM(SUMIF($C:$C,"1",AZ:AZ))</f>
        <v>280243</v>
      </c>
      <c r="BA9" s="37">
        <f>AX9-AZ9</f>
        <v>0</v>
      </c>
      <c r="BB9" s="335">
        <f t="shared" ref="BB9:BB18" si="1763">BA9/AZ9</f>
        <v>0</v>
      </c>
      <c r="BC9" s="402">
        <v>-0.43391991336829999</v>
      </c>
      <c r="BD9" s="402"/>
    </row>
    <row r="10" ht="17" customHeight="1">
      <c r="A10" s="44"/>
      <c r="B10" s="45" t="s">
        <v>56</v>
      </c>
      <c r="C10" s="46">
        <v>1</v>
      </c>
      <c r="D10" s="46"/>
      <c r="E10" s="46"/>
      <c r="F10" s="47"/>
      <c r="G10" s="49"/>
      <c r="H10" s="50"/>
      <c r="I10" s="49"/>
      <c r="J10" s="49"/>
      <c r="K10" s="49"/>
      <c r="L10" s="49"/>
      <c r="M10" s="49"/>
      <c r="N10" s="59"/>
      <c r="O10" s="49"/>
      <c r="P10" s="49"/>
      <c r="Q10" s="49"/>
      <c r="R10" s="49"/>
      <c r="S10" s="49"/>
      <c r="T10" s="49"/>
      <c r="U10" s="49"/>
      <c r="V10" s="48"/>
      <c r="W10" s="49"/>
      <c r="X10" s="52"/>
      <c r="Y10" s="52"/>
      <c r="Z10" s="52"/>
      <c r="AA10" s="48"/>
      <c r="AB10" s="49"/>
      <c r="AC10" s="49"/>
      <c r="AD10" s="49"/>
      <c r="AE10" s="48"/>
      <c r="AF10" s="49"/>
      <c r="AG10" s="49"/>
      <c r="AH10" s="49"/>
      <c r="AI10" s="49"/>
      <c r="AJ10" s="49"/>
      <c r="AK10" s="49"/>
      <c r="AL10" s="169"/>
      <c r="AM10" s="49"/>
      <c r="AN10" s="49"/>
      <c r="AO10" s="52"/>
      <c r="AP10" s="52"/>
      <c r="AQ10" s="48">
        <f>AZ3/2</f>
        <v>9228.5982496269608</v>
      </c>
      <c r="AR10" s="48"/>
      <c r="AS10" s="48">
        <f>AZ3/2</f>
        <v>9228.5982496269608</v>
      </c>
      <c r="AT10" s="169"/>
      <c r="AU10" s="49"/>
      <c r="AV10" s="49"/>
      <c r="AW10" s="49"/>
      <c r="AX10" s="59"/>
      <c r="AY10" s="59"/>
      <c r="AZ10" s="59"/>
      <c r="BA10" s="59"/>
      <c r="BB10" s="43"/>
      <c r="BC10" s="50"/>
      <c r="BD10" s="50"/>
    </row>
    <row r="11" s="54" customFormat="1" ht="17" customHeight="1">
      <c r="A11" s="55"/>
      <c r="B11" s="56" t="s">
        <v>58</v>
      </c>
      <c r="C11" s="57">
        <v>0</v>
      </c>
      <c r="D11" s="57"/>
      <c r="E11" s="57"/>
      <c r="F11" s="58"/>
      <c r="G11" s="172">
        <f t="shared" ref="G11:AC11" si="1764">SUM(SUMIF($C:$C,"2",G:G))</f>
        <v>0</v>
      </c>
      <c r="H11" s="172">
        <f t="shared" si="1764"/>
        <v>0</v>
      </c>
      <c r="I11" s="172">
        <f t="shared" si="1764"/>
        <v>0</v>
      </c>
      <c r="J11" s="172">
        <f t="shared" si="1764"/>
        <v>0</v>
      </c>
      <c r="K11" s="172">
        <f t="shared" si="1764"/>
        <v>0</v>
      </c>
      <c r="L11" s="172">
        <f t="shared" si="1764"/>
        <v>0</v>
      </c>
      <c r="M11" s="172">
        <f t="shared" si="1764"/>
        <v>0</v>
      </c>
      <c r="N11" s="172">
        <f t="shared" si="1764"/>
        <v>0</v>
      </c>
      <c r="O11" s="172">
        <f t="shared" si="1764"/>
        <v>0</v>
      </c>
      <c r="P11" s="172">
        <f t="shared" si="1764"/>
        <v>0</v>
      </c>
      <c r="Q11" s="172">
        <f t="shared" si="1764"/>
        <v>0</v>
      </c>
      <c r="R11" s="172">
        <f t="shared" si="1764"/>
        <v>0</v>
      </c>
      <c r="S11" s="172">
        <f t="shared" si="1764"/>
        <v>0</v>
      </c>
      <c r="T11" s="172">
        <f t="shared" si="1764"/>
        <v>0</v>
      </c>
      <c r="U11" s="172">
        <f t="shared" si="1764"/>
        <v>0</v>
      </c>
      <c r="V11" s="172">
        <f t="shared" si="1764"/>
        <v>0</v>
      </c>
      <c r="W11" s="172">
        <f t="shared" si="1764"/>
        <v>0</v>
      </c>
      <c r="X11" s="172">
        <f t="shared" si="1764"/>
        <v>0</v>
      </c>
      <c r="Y11" s="172">
        <f t="shared" si="1764"/>
        <v>0</v>
      </c>
      <c r="Z11" s="172">
        <f t="shared" si="1764"/>
        <v>0</v>
      </c>
      <c r="AA11" s="172">
        <f t="shared" si="1764"/>
        <v>0</v>
      </c>
      <c r="AB11" s="172">
        <f t="shared" si="1764"/>
        <v>0</v>
      </c>
      <c r="AC11" s="172">
        <f t="shared" si="1764"/>
        <v>0</v>
      </c>
      <c r="AD11" s="172"/>
      <c r="AE11" s="172"/>
      <c r="AF11" s="172">
        <f t="shared" ref="AF11:AK11" si="1765">SUM(SUMIF($C:$C,"2",AF:AF))</f>
        <v>0</v>
      </c>
      <c r="AG11" s="172">
        <f t="shared" si="1765"/>
        <v>0</v>
      </c>
      <c r="AH11" s="172">
        <f t="shared" si="1765"/>
        <v>0</v>
      </c>
      <c r="AI11" s="172">
        <f t="shared" si="1765"/>
        <v>0</v>
      </c>
      <c r="AJ11" s="172">
        <f t="shared" si="1765"/>
        <v>0</v>
      </c>
      <c r="AK11" s="172">
        <f t="shared" si="1765"/>
        <v>0</v>
      </c>
      <c r="AL11" s="172"/>
      <c r="AM11" s="172"/>
      <c r="AN11" s="172">
        <f>SUM(SUMIF($C:$C,"2",AN:AN))</f>
        <v>0</v>
      </c>
      <c r="AO11" s="172"/>
      <c r="AP11" s="172"/>
      <c r="AQ11" s="172">
        <f>SUM(SUMIF($C:$C,"2",AQ:AQ))</f>
        <v>0</v>
      </c>
      <c r="AR11" s="172"/>
      <c r="AS11" s="172">
        <f>SUM(SUMIF($C:$C,"2",AS:AS))</f>
        <v>0</v>
      </c>
      <c r="AT11" s="176">
        <f>SUM(SUMIF($C:$C,"2",AT:AT))</f>
        <v>0</v>
      </c>
      <c r="AU11" s="172">
        <f>SUM(SUMIF($C:$C,"2",AU:AU))</f>
        <v>0</v>
      </c>
      <c r="AV11" s="172"/>
      <c r="AW11" s="172"/>
      <c r="AX11" s="172">
        <f>SUM(SUMIF($C:$C,"2",AX:AX))</f>
        <v>0</v>
      </c>
      <c r="AY11" s="172">
        <v>0</v>
      </c>
      <c r="AZ11" s="172">
        <f>SUM(SUMIF($C:$C,"2",AZ:AZ))</f>
        <v>0</v>
      </c>
      <c r="BA11" s="172">
        <f>SUM(SUMIF($C:$C,"2",BA:BA))</f>
        <v>0</v>
      </c>
      <c r="BB11" s="172">
        <f>SUM(SUMIF($C:$C,"2",BB:BB))</f>
        <v>0</v>
      </c>
      <c r="BC11" s="172">
        <v>0</v>
      </c>
      <c r="BD11" s="172"/>
    </row>
    <row r="12" s="5" customFormat="1" ht="17" customHeight="1">
      <c r="A12" s="44"/>
      <c r="B12" s="45" t="s">
        <v>60</v>
      </c>
      <c r="C12" s="46"/>
      <c r="D12" s="46"/>
      <c r="E12" s="46"/>
      <c r="F12" s="47"/>
      <c r="G12" s="59">
        <f t="shared" ref="G12:P12" si="1766">SUM(SUMIF($C:$C,"贫困",G:G))+SUM(SUMIF($C:$C,"深度贫困",G:G))</f>
        <v>6064235</v>
      </c>
      <c r="H12" s="60">
        <f t="shared" si="1766"/>
        <v>5363024</v>
      </c>
      <c r="I12" s="59">
        <f t="shared" si="1766"/>
        <v>0</v>
      </c>
      <c r="J12" s="59">
        <f t="shared" si="1766"/>
        <v>347075.40000000002</v>
      </c>
      <c r="K12" s="59">
        <f t="shared" si="1766"/>
        <v>1124051.2</v>
      </c>
      <c r="L12" s="59">
        <f t="shared" si="1766"/>
        <v>2443064.3999999999</v>
      </c>
      <c r="M12" s="59">
        <f t="shared" si="1766"/>
        <v>1448833</v>
      </c>
      <c r="N12" s="59">
        <f t="shared" si="1766"/>
        <v>817512</v>
      </c>
      <c r="O12" s="59">
        <f t="shared" si="1766"/>
        <v>951493</v>
      </c>
      <c r="P12" s="59">
        <f t="shared" si="1766"/>
        <v>449662.79999999999</v>
      </c>
      <c r="Q12" s="59">
        <v>100866</v>
      </c>
      <c r="R12" s="59">
        <f>SUM(SUMIF($C:$C,"贫困",R:R))+SUM(SUMIF($C:$C,"深度贫困",R:R))</f>
        <v>58954</v>
      </c>
      <c r="S12" s="59">
        <f>SUM(SUMIF($C:$C,"贫困",S:S))+SUM(SUMIF($C:$C,"深度贫困",S:S))</f>
        <v>254085</v>
      </c>
      <c r="T12" s="59">
        <f>SUM(SUMIF($C:$C,"贫困",T:T))+SUM(SUMIF($C:$C,"深度贫困",T:T))</f>
        <v>70316</v>
      </c>
      <c r="U12" s="59">
        <f>SUM(SUMIF($C:$C,"贫困",U:U))+SUM(SUMIF($C:$C,"深度贫困",U:U))</f>
        <v>133055</v>
      </c>
      <c r="V12" s="59">
        <f>SUM(SUMIF($C:$C,"贫困",V:V))+SUM(SUMIF($C:$C,"深度贫困",V:V))</f>
        <v>91569.806003566104</v>
      </c>
      <c r="W12" s="59"/>
      <c r="X12" s="62">
        <f t="shared" ref="X12:AC12" si="1767">SUM(SUMIF($C:$C,"贫困",X:X))+SUM(SUMIF($C:$C,"深度贫困",X:X))</f>
        <v>55.172602315306399</v>
      </c>
      <c r="Y12" s="62">
        <f t="shared" si="1767"/>
        <v>481.09334458255699</v>
      </c>
      <c r="Z12" s="62">
        <f t="shared" si="1767"/>
        <v>444.86485711858302</v>
      </c>
      <c r="AA12" s="59">
        <f t="shared" si="1767"/>
        <v>35242.614359798201</v>
      </c>
      <c r="AB12" s="59">
        <f t="shared" si="1767"/>
        <v>665330.51963200001</v>
      </c>
      <c r="AC12" s="59">
        <f t="shared" si="1767"/>
        <v>8394.0213666167001</v>
      </c>
      <c r="AD12" s="59"/>
      <c r="AE12" s="59"/>
      <c r="AF12" s="59">
        <f t="shared" ref="AF12:AK12" si="1768">SUM(SUMIF($C:$C,"贫困",AF:AF))+SUM(SUMIF($C:$C,"深度贫困",AF:AF))</f>
        <v>3081</v>
      </c>
      <c r="AG12" s="59">
        <f t="shared" si="1768"/>
        <v>3081</v>
      </c>
      <c r="AH12" s="59">
        <f t="shared" si="1768"/>
        <v>5194.25211796247</v>
      </c>
      <c r="AI12" s="59">
        <f t="shared" si="1768"/>
        <v>73.850694001914206</v>
      </c>
      <c r="AJ12" s="59">
        <f t="shared" si="1768"/>
        <v>73.850694001914206</v>
      </c>
      <c r="AK12" s="59">
        <f t="shared" si="1768"/>
        <v>5039.34263592564</v>
      </c>
      <c r="AL12" s="59"/>
      <c r="AM12" s="59"/>
      <c r="AN12" s="59">
        <f>SUM(SUMIF($C:$C,"贫困",AN:AN))+SUM(SUMIF($C:$C,"深度贫困",AN:AN))</f>
        <v>119000</v>
      </c>
      <c r="AO12" s="59"/>
      <c r="AP12" s="59"/>
      <c r="AQ12" s="59">
        <f>SUM(SUMIF($C:$C,"贫困",AQ:AQ))+SUM(SUMIF($C:$C,"深度贫困",AQ:AQ))</f>
        <v>0</v>
      </c>
      <c r="AR12" s="59"/>
      <c r="AS12" s="59">
        <f>SUM(SUMIF($C:$C,"贫困",AS:AS))+SUM(SUMIF($C:$C,"深度贫困",AS:AS))</f>
        <v>0</v>
      </c>
      <c r="AT12" s="189">
        <f>SUM(SUMIF($C:$C,"贫困",AT:AT))+SUM(SUMIF($C:$C,"深度贫困",AT:AT))</f>
        <v>0.87212729008384604</v>
      </c>
      <c r="AU12" s="59">
        <f>SUM(SUMIF($C:$C,"贫困",AU:AU))+SUM(SUMIF($C:$C,"深度贫困",AU:AU))</f>
        <v>5210.0709884150901</v>
      </c>
      <c r="AV12" s="59"/>
      <c r="AW12" s="59"/>
      <c r="AX12" s="59">
        <f>SUM(SUMIF($C:$C,"贫困",AX:AX))+SUM(SUMIF($C:$C,"深度贫困",AX:AX))</f>
        <v>269650</v>
      </c>
      <c r="AY12" s="59">
        <v>276296</v>
      </c>
      <c r="AZ12" s="59">
        <f>SUM(SUMIF($C:$C,"贫困",AZ:AZ))+SUM(SUMIF($C:$C,"深度贫困",AZ:AZ))</f>
        <v>258597.435494267</v>
      </c>
      <c r="BA12" s="59">
        <f>SUM(SUMIF($C:$C,"贫困",BA:BA))+SUM(SUMIF($C:$C,"深度贫困",BA:BA))</f>
        <v>11052.5645057327</v>
      </c>
      <c r="BB12" s="43">
        <f t="shared" si="1763"/>
        <v>4.2740425807423502e-002</v>
      </c>
      <c r="BC12" s="59">
        <f>SUM(SUMIF($C:$C,"贫困",BC:BC))+SUM(SUMIF($C:$C,"深度贫困",BC:BC))</f>
        <v>-13881</v>
      </c>
      <c r="BD12" s="59">
        <f>SUM(SUMIF($C:$C,"贫困",BD:BD))+SUM(SUMIF($C:$C,"深度贫困",BD:BD))</f>
        <v>-2828.4354942672999</v>
      </c>
      <c r="BE12" s="135">
        <f>AX12/88</f>
        <v>3064.20454545455</v>
      </c>
    </row>
    <row r="13" ht="17" customHeight="1">
      <c r="A13" s="44"/>
      <c r="B13" s="45" t="s">
        <v>62</v>
      </c>
      <c r="C13" s="46"/>
      <c r="D13" s="46"/>
      <c r="E13" s="46"/>
      <c r="F13" s="47"/>
      <c r="G13" s="59">
        <f t="shared" ref="G13:P13" si="1769">SUM(SUMIF($C:$C,"非贫困县",G:G))</f>
        <v>588758</v>
      </c>
      <c r="H13" s="60">
        <f t="shared" si="1769"/>
        <v>353254.79999999999</v>
      </c>
      <c r="I13" s="59">
        <f t="shared" si="1769"/>
        <v>353254.79999999999</v>
      </c>
      <c r="J13" s="59">
        <f t="shared" si="1769"/>
        <v>0</v>
      </c>
      <c r="K13" s="59">
        <f t="shared" si="1769"/>
        <v>0</v>
      </c>
      <c r="L13" s="59">
        <f t="shared" si="1769"/>
        <v>0</v>
      </c>
      <c r="M13" s="59">
        <f t="shared" si="1769"/>
        <v>0</v>
      </c>
      <c r="N13" s="59">
        <f t="shared" si="1769"/>
        <v>79348</v>
      </c>
      <c r="O13" s="59">
        <f t="shared" si="1769"/>
        <v>44624</v>
      </c>
      <c r="P13" s="59">
        <f t="shared" si="1769"/>
        <v>3974.4000000000001</v>
      </c>
      <c r="Q13" s="59">
        <v>6624</v>
      </c>
      <c r="R13" s="59">
        <f>SUM(SUMIF($C:$C,"非贫困县",R:R))</f>
        <v>0</v>
      </c>
      <c r="S13" s="59">
        <f>SUM(SUMIF($C:$C,"非贫困县",S:S))</f>
        <v>0</v>
      </c>
      <c r="T13" s="59">
        <f>SUM(SUMIF($C:$C,"非贫困县",T:T))</f>
        <v>0</v>
      </c>
      <c r="U13" s="59">
        <f>SUM(SUMIF($C:$C,"非贫困县",U:U))</f>
        <v>14420</v>
      </c>
      <c r="V13" s="59">
        <f>SUM(SUMIF($C:$C,"非贫困县",V:V))</f>
        <v>7000.86399643392</v>
      </c>
      <c r="W13" s="59"/>
      <c r="X13" s="62">
        <f t="shared" ref="X13:AC13" si="1770">SUM(SUMIF($C:$C,"非贫困县",X:X))</f>
        <v>19.693071831299601</v>
      </c>
      <c r="Y13" s="62">
        <f t="shared" si="1770"/>
        <v>37.948653636747999</v>
      </c>
      <c r="Z13" s="62">
        <f t="shared" si="1770"/>
        <v>7.5897307273496004</v>
      </c>
      <c r="AA13" s="59">
        <f t="shared" si="1770"/>
        <v>601.26564020181195</v>
      </c>
      <c r="AB13" s="59">
        <f t="shared" si="1770"/>
        <v>44937.725599999998</v>
      </c>
      <c r="AC13" s="59">
        <f t="shared" si="1770"/>
        <v>566.94863338329299</v>
      </c>
      <c r="AD13" s="59"/>
      <c r="AE13" s="59"/>
      <c r="AF13" s="59">
        <f t="shared" ref="AF13:AK13" si="1771">SUM(SUMIF($C:$C,"非贫困县",AF:AF))</f>
        <v>925</v>
      </c>
      <c r="AG13" s="59">
        <f t="shared" si="1771"/>
        <v>462.5</v>
      </c>
      <c r="AH13" s="59">
        <f t="shared" si="1771"/>
        <v>779.72788203753396</v>
      </c>
      <c r="AI13" s="59">
        <f t="shared" si="1771"/>
        <v>27.393897563122501</v>
      </c>
      <c r="AJ13" s="59">
        <f t="shared" si="1771"/>
        <v>13.6969487815613</v>
      </c>
      <c r="AK13" s="59">
        <f t="shared" si="1771"/>
        <v>934.63736407436204</v>
      </c>
      <c r="AL13" s="59"/>
      <c r="AM13" s="59"/>
      <c r="AN13" s="59">
        <f>SUM(SUMIF($C:$C,"非贫困县",AN:AN))</f>
        <v>0</v>
      </c>
      <c r="AO13" s="59"/>
      <c r="AP13" s="59"/>
      <c r="AQ13" s="59">
        <f>SUM(SUMIF($C:$C,"非贫困县",AQ:AQ))</f>
        <v>0</v>
      </c>
      <c r="AR13" s="59"/>
      <c r="AS13" s="59">
        <f>SUM(SUMIF($C:$C,"非贫困县",AS:AS))</f>
        <v>0</v>
      </c>
      <c r="AT13" s="189">
        <f>SUM(SUMIF($C:$C,"非贫困县",AT:AT))</f>
        <v>0.12787270991615399</v>
      </c>
      <c r="AU13" s="59">
        <f>SUM(SUMIF($C:$C,"非贫困县",AU:AU))</f>
        <v>709.16251233099797</v>
      </c>
      <c r="AV13" s="59"/>
      <c r="AW13" s="59"/>
      <c r="AX13" s="59">
        <f>SUM(SUMIF($C:$C,"非贫困县",AX:AX))</f>
        <v>10593</v>
      </c>
      <c r="AY13" s="59">
        <v>23127</v>
      </c>
      <c r="AZ13" s="59">
        <f>SUM(SUMIF($C:$C,"非贫困县",AZ:AZ))</f>
        <v>21645.564505732698</v>
      </c>
      <c r="BA13" s="59">
        <f>SUM(SUMIF($C:$C,"非贫困县",BA:BA))</f>
        <v>-11052.5645057327</v>
      </c>
      <c r="BB13" s="43">
        <f t="shared" si="1763"/>
        <v>-0.51061567383957496</v>
      </c>
      <c r="BC13" s="59">
        <f>SUM(SUMIF($C:$C,"非贫困县",BC:BC))</f>
        <v>12500</v>
      </c>
      <c r="BD13" s="59">
        <f>SUM(SUMIF($C:$C,"非贫困县",BD:BD))</f>
        <v>1447.4354942673101</v>
      </c>
      <c r="BE13" s="135">
        <f>AX13/41</f>
        <v>258.36585365853699</v>
      </c>
    </row>
    <row r="14" s="5" customFormat="1" ht="17" customHeight="1">
      <c r="A14" s="44"/>
      <c r="B14" s="45" t="s">
        <v>64</v>
      </c>
      <c r="C14" s="46"/>
      <c r="D14" s="46"/>
      <c r="E14" s="46"/>
      <c r="F14" s="47"/>
      <c r="G14" s="59">
        <f t="shared" ref="G14:P14" si="1772">SUM(SUMIF($E:$E,"国家",G:G))+SUM(SUMIF($E:$E,"省级",G:G))</f>
        <v>4934288</v>
      </c>
      <c r="H14" s="60">
        <f t="shared" si="1772"/>
        <v>4476433.7999999998</v>
      </c>
      <c r="I14" s="59">
        <f t="shared" si="1772"/>
        <v>0</v>
      </c>
      <c r="J14" s="59">
        <f t="shared" si="1772"/>
        <v>125671.7</v>
      </c>
      <c r="K14" s="59">
        <f t="shared" si="1772"/>
        <v>587220</v>
      </c>
      <c r="L14" s="59">
        <f t="shared" si="1772"/>
        <v>2314709.1000000001</v>
      </c>
      <c r="M14" s="59">
        <f t="shared" si="1772"/>
        <v>1448833</v>
      </c>
      <c r="N14" s="59">
        <f t="shared" si="1772"/>
        <v>663436</v>
      </c>
      <c r="O14" s="59">
        <f t="shared" si="1772"/>
        <v>802791</v>
      </c>
      <c r="P14" s="59">
        <f t="shared" si="1772"/>
        <v>440067</v>
      </c>
      <c r="Q14" s="59">
        <v>84873</v>
      </c>
      <c r="R14" s="59">
        <f t="shared" ref="R14:AC14" si="1773">SUM(SUMIF($E:$E,"国家",R:R))+SUM(SUMIF($E:$E,"省级",R:R))</f>
        <v>58954</v>
      </c>
      <c r="S14" s="59">
        <f t="shared" si="1773"/>
        <v>254085</v>
      </c>
      <c r="T14" s="59">
        <f t="shared" si="1773"/>
        <v>70316</v>
      </c>
      <c r="U14" s="59">
        <f t="shared" si="1773"/>
        <v>111618</v>
      </c>
      <c r="V14" s="59">
        <f t="shared" si="1773"/>
        <v>77006.585829566597</v>
      </c>
      <c r="W14" s="59">
        <f t="shared" si="1773"/>
        <v>656730.09999999998</v>
      </c>
      <c r="X14" s="62">
        <f t="shared" si="1773"/>
        <v>38.051624813216698</v>
      </c>
      <c r="Y14" s="62">
        <f t="shared" si="1773"/>
        <v>408.63636965460802</v>
      </c>
      <c r="Z14" s="62">
        <f t="shared" si="1773"/>
        <v>408.63636965460802</v>
      </c>
      <c r="AA14" s="59">
        <f t="shared" si="1773"/>
        <v>32372.559348481998</v>
      </c>
      <c r="AB14" s="59">
        <f t="shared" si="1773"/>
        <v>561065.64343199995</v>
      </c>
      <c r="AC14" s="59">
        <f t="shared" si="1773"/>
        <v>7078.5825391681601</v>
      </c>
      <c r="AD14" s="59"/>
      <c r="AE14" s="59"/>
      <c r="AF14" s="59">
        <f t="shared" ref="AF14:AK14" si="1774">SUM(SUMIF($E:$E,"国家",AF:AF))+SUM(SUMIF($E:$E,"省级",AF:AF))</f>
        <v>2102</v>
      </c>
      <c r="AG14" s="59">
        <f t="shared" si="1774"/>
        <v>2102</v>
      </c>
      <c r="AH14" s="59">
        <f t="shared" si="1774"/>
        <v>3543.7578552278801</v>
      </c>
      <c r="AI14" s="59">
        <f t="shared" si="1774"/>
        <v>47.393033837488296</v>
      </c>
      <c r="AJ14" s="59">
        <f t="shared" si="1774"/>
        <v>47.393033837488296</v>
      </c>
      <c r="AK14" s="59">
        <f t="shared" si="1774"/>
        <v>3233.9538482459102</v>
      </c>
      <c r="AL14" s="59"/>
      <c r="AM14" s="59"/>
      <c r="AN14" s="59">
        <f>SUM(SUMIF($E:$E,"国家",AN:AN))+SUM(SUMIF($E:$E,"省级",AN:AN))</f>
        <v>119000</v>
      </c>
      <c r="AO14" s="59"/>
      <c r="AP14" s="59"/>
      <c r="AQ14" s="59">
        <f>SUM(SUMIF($E:$E,"国家",AQ:AQ))+SUM(SUMIF($E:$E,"省级",AQ:AQ))</f>
        <v>0</v>
      </c>
      <c r="AR14" s="59"/>
      <c r="AS14" s="59">
        <f>SUM(SUMIF($E:$E,"国家",AS:AS))+SUM(SUMIF($E:$E,"省级",AS:AS))</f>
        <v>0</v>
      </c>
      <c r="AT14" s="189">
        <f>SUM(SUMIF($E:$E,"国家",AT:AT))+SUM(SUMIF($E:$E,"省级",AT:AT))</f>
        <v>0.72533668029615495</v>
      </c>
      <c r="AU14" s="59">
        <f>SUM(SUMIF($E:$E,"国家",AU:AU))+SUM(SUMIF($E:$E,"省级",AU:AU))</f>
        <v>4333.14682135562</v>
      </c>
      <c r="AV14" s="59"/>
      <c r="AW14" s="59"/>
      <c r="AX14" s="59">
        <f>SUM(SUMIF($E:$E,"国家",AX:AX))+SUM(SUMIF($E:$E,"省级",AX:AX))</f>
        <v>246570</v>
      </c>
      <c r="AY14" s="59">
        <v>238197</v>
      </c>
      <c r="AZ14" s="59">
        <f>SUM(SUMIF($E:$E,"国家",AZ:AZ))+SUM(SUMIF($E:$E,"省级",AZ:AZ))</f>
        <v>222938.92543659001</v>
      </c>
      <c r="BA14" s="59">
        <f>SUM(SUMIF($E:$E,"国家",BA:BA))+SUM(SUMIF($E:$E,"省级",BA:BA))</f>
        <v>23631.0745634103</v>
      </c>
      <c r="BB14" s="43">
        <f t="shared" si="1763"/>
        <v>0.105997974634231</v>
      </c>
      <c r="BC14" s="59">
        <f>SUM(SUMIF($E:$E,"国家",BC:BC))+SUM(SUMIF($E:$E,"省级",BC:BC))</f>
        <v>-29297</v>
      </c>
      <c r="BD14" s="59">
        <f>SUM(SUMIF($E:$E,"国家",BD:BD))+SUM(SUMIF($E:$E,"省级",BD:BD))</f>
        <v>-5665.9254365897004</v>
      </c>
    </row>
    <row r="15" s="5" customFormat="1" ht="17" customHeight="1">
      <c r="A15" s="44"/>
      <c r="B15" s="45" t="s">
        <v>66</v>
      </c>
      <c r="C15" s="46"/>
      <c r="D15" s="46"/>
      <c r="E15" s="46"/>
      <c r="F15" s="47"/>
      <c r="G15" s="59">
        <f t="shared" ref="G15:P15" si="1775">SUM(SUMIF($E:$E,"国家",G:G))</f>
        <v>3329899</v>
      </c>
      <c r="H15" s="60">
        <f t="shared" si="1775"/>
        <v>3122543.7999999998</v>
      </c>
      <c r="I15" s="59">
        <f t="shared" si="1775"/>
        <v>0</v>
      </c>
      <c r="J15" s="59">
        <f t="shared" si="1775"/>
        <v>0</v>
      </c>
      <c r="K15" s="59">
        <f t="shared" si="1775"/>
        <v>97768.800000000003</v>
      </c>
      <c r="L15" s="59">
        <f t="shared" si="1775"/>
        <v>1646217</v>
      </c>
      <c r="M15" s="59">
        <f t="shared" si="1775"/>
        <v>1378558</v>
      </c>
      <c r="N15" s="59">
        <f t="shared" si="1775"/>
        <v>470414</v>
      </c>
      <c r="O15" s="59">
        <f t="shared" si="1775"/>
        <v>648468</v>
      </c>
      <c r="P15" s="59">
        <f t="shared" si="1775"/>
        <v>416697.59999999998</v>
      </c>
      <c r="Q15" s="59">
        <v>62784</v>
      </c>
      <c r="R15" s="59">
        <f t="shared" ref="R15:AC15" si="1776">SUM(SUMIF($E:$E,"国家",R:R))</f>
        <v>46309</v>
      </c>
      <c r="S15" s="59">
        <f t="shared" si="1776"/>
        <v>254085</v>
      </c>
      <c r="T15" s="59">
        <f t="shared" si="1776"/>
        <v>70316</v>
      </c>
      <c r="U15" s="59">
        <f t="shared" si="1776"/>
        <v>74875</v>
      </c>
      <c r="V15" s="59">
        <f t="shared" si="1776"/>
        <v>56475.070623709798</v>
      </c>
      <c r="W15" s="59">
        <f t="shared" si="1776"/>
        <v>307678.10999999999</v>
      </c>
      <c r="X15" s="62">
        <f t="shared" si="1776"/>
        <v>18.573841943385698</v>
      </c>
      <c r="Y15" s="62">
        <f t="shared" si="1776"/>
        <v>292.65762534056699</v>
      </c>
      <c r="Z15" s="62">
        <f t="shared" si="1776"/>
        <v>292.65762534056699</v>
      </c>
      <c r="AA15" s="59">
        <f t="shared" si="1776"/>
        <v>23184.613628814001</v>
      </c>
      <c r="AB15" s="59">
        <f t="shared" si="1776"/>
        <v>365641.13199999998</v>
      </c>
      <c r="AC15" s="59">
        <f t="shared" si="1776"/>
        <v>4613.0447709200498</v>
      </c>
      <c r="AD15" s="59"/>
      <c r="AE15" s="59"/>
      <c r="AF15" s="59">
        <f t="shared" ref="AF15:AK15" si="1777">SUM(SUMIF($E:$E,"国家",AF:AF))</f>
        <v>1270</v>
      </c>
      <c r="AG15" s="59">
        <f t="shared" si="1777"/>
        <v>1270</v>
      </c>
      <c r="AH15" s="59">
        <f t="shared" si="1777"/>
        <v>2141.0906166219802</v>
      </c>
      <c r="AI15" s="59">
        <f t="shared" si="1777"/>
        <v>23.2013302853208</v>
      </c>
      <c r="AJ15" s="59">
        <f t="shared" si="1777"/>
        <v>23.2013302853208</v>
      </c>
      <c r="AK15" s="59">
        <f t="shared" si="1777"/>
        <v>1583.1869218991901</v>
      </c>
      <c r="AL15" s="59"/>
      <c r="AM15" s="59"/>
      <c r="AN15" s="59">
        <f>SUM(SUMIF($E:$E,"国家",AN:AN))</f>
        <v>29000</v>
      </c>
      <c r="AO15" s="59"/>
      <c r="AP15" s="59"/>
      <c r="AQ15" s="59">
        <f>SUM(SUMIF($E:$E,"国家",AQ:AQ))</f>
        <v>0</v>
      </c>
      <c r="AR15" s="59"/>
      <c r="AS15" s="59">
        <f>SUM(SUMIF($E:$E,"国家",AS:AS))</f>
        <v>0</v>
      </c>
      <c r="AT15" s="189">
        <f>SUM(SUMIF($E:$E,"国家",AT:AT))</f>
        <v>0.50285825273346696</v>
      </c>
      <c r="AU15" s="59">
        <f>SUM(SUMIF($E:$E,"国家",AU:AU))</f>
        <v>3004.0651446646698</v>
      </c>
      <c r="AV15" s="59"/>
      <c r="AW15" s="59"/>
      <c r="AX15" s="59">
        <f>SUM(SUMIF($E:$E,"国家",AX:AX))</f>
        <v>120002</v>
      </c>
      <c r="AY15" s="59">
        <v>173235</v>
      </c>
      <c r="AZ15" s="59">
        <f>SUM(SUMIF($E:$E,"国家",AZ:AZ))</f>
        <v>162138.166089445</v>
      </c>
      <c r="BA15" s="59">
        <f>SUM(SUMIF($E:$E,"国家",BA:BA))</f>
        <v>-42136.166089445403</v>
      </c>
      <c r="BB15" s="43">
        <f t="shared" si="1763"/>
        <v>-0.25987814655681002</v>
      </c>
      <c r="BC15" s="59">
        <f>SUM(SUMIF($E:$E,"国家",BC:BC))</f>
        <v>40797</v>
      </c>
      <c r="BD15" s="59">
        <f>SUM(SUMIF($E:$E,"国家",BD:BD))</f>
        <v>-1339.1660894453601</v>
      </c>
    </row>
    <row r="16" s="5" customFormat="1" ht="17" customHeight="1">
      <c r="A16" s="44"/>
      <c r="B16" s="45" t="s">
        <v>68</v>
      </c>
      <c r="C16" s="46"/>
      <c r="D16" s="46"/>
      <c r="E16" s="46"/>
      <c r="F16" s="47"/>
      <c r="G16" s="59">
        <f t="shared" ref="G16:P16" si="1778">SUM(SUMIF($E:$E,"省级",G:G))</f>
        <v>1604389</v>
      </c>
      <c r="H16" s="60">
        <f t="shared" si="1778"/>
        <v>1353890</v>
      </c>
      <c r="I16" s="59">
        <f t="shared" si="1778"/>
        <v>0</v>
      </c>
      <c r="J16" s="59">
        <f t="shared" si="1778"/>
        <v>125671.7</v>
      </c>
      <c r="K16" s="59">
        <f t="shared" si="1778"/>
        <v>489451.20000000001</v>
      </c>
      <c r="L16" s="59">
        <f t="shared" si="1778"/>
        <v>668492.09999999998</v>
      </c>
      <c r="M16" s="59">
        <f t="shared" si="1778"/>
        <v>70275</v>
      </c>
      <c r="N16" s="59">
        <f t="shared" si="1778"/>
        <v>193022</v>
      </c>
      <c r="O16" s="59">
        <f t="shared" si="1778"/>
        <v>154323</v>
      </c>
      <c r="P16" s="59">
        <f t="shared" si="1778"/>
        <v>23369.400000000001</v>
      </c>
      <c r="Q16" s="59">
        <v>22089</v>
      </c>
      <c r="R16" s="59">
        <f t="shared" ref="R16:AC16" si="1779">SUM(SUMIF($E:$E,"省级",R:R))</f>
        <v>12645</v>
      </c>
      <c r="S16" s="59">
        <f t="shared" si="1779"/>
        <v>0</v>
      </c>
      <c r="T16" s="59">
        <f t="shared" si="1779"/>
        <v>0</v>
      </c>
      <c r="U16" s="59">
        <f t="shared" si="1779"/>
        <v>36743</v>
      </c>
      <c r="V16" s="59">
        <f t="shared" si="1779"/>
        <v>20531.515205856798</v>
      </c>
      <c r="W16" s="59">
        <f t="shared" si="1779"/>
        <v>349051.98999999999</v>
      </c>
      <c r="X16" s="62">
        <f t="shared" si="1779"/>
        <v>19.477782869831</v>
      </c>
      <c r="Y16" s="62">
        <f t="shared" si="1779"/>
        <v>115.97874431404099</v>
      </c>
      <c r="Z16" s="62">
        <f t="shared" si="1779"/>
        <v>115.97874431404099</v>
      </c>
      <c r="AA16" s="59">
        <f t="shared" si="1779"/>
        <v>9187.9457196679796</v>
      </c>
      <c r="AB16" s="59">
        <f t="shared" si="1779"/>
        <v>195424.511432</v>
      </c>
      <c r="AC16" s="59">
        <f t="shared" si="1779"/>
        <v>2465.5377682481098</v>
      </c>
      <c r="AD16" s="59"/>
      <c r="AE16" s="59"/>
      <c r="AF16" s="59">
        <f t="shared" ref="AF16:AK16" si="1780">SUM(SUMIF($E:$E,"省级",AF:AF))</f>
        <v>832</v>
      </c>
      <c r="AG16" s="59">
        <f t="shared" si="1780"/>
        <v>832</v>
      </c>
      <c r="AH16" s="59">
        <f t="shared" si="1780"/>
        <v>1402.6672386058999</v>
      </c>
      <c r="AI16" s="59">
        <f t="shared" si="1780"/>
        <v>24.191703552167599</v>
      </c>
      <c r="AJ16" s="59">
        <f t="shared" si="1780"/>
        <v>24.191703552167599</v>
      </c>
      <c r="AK16" s="59">
        <f t="shared" si="1780"/>
        <v>1650.7669263467201</v>
      </c>
      <c r="AL16" s="59"/>
      <c r="AM16" s="59"/>
      <c r="AN16" s="59">
        <f>SUM(SUMIF($E:$E,"省级",AN:AN))</f>
        <v>90000</v>
      </c>
      <c r="AO16" s="59"/>
      <c r="AP16" s="59"/>
      <c r="AQ16" s="59">
        <f>SUM(SUMIF($E:$E,"省级",AQ:AQ))</f>
        <v>0</v>
      </c>
      <c r="AR16" s="59"/>
      <c r="AS16" s="59">
        <f>SUM(SUMIF($E:$E,"省级",AS:AS))</f>
        <v>0</v>
      </c>
      <c r="AT16" s="189">
        <f>SUM(SUMIF($E:$E,"省级",AT:AT))</f>
        <v>0.22247842756268801</v>
      </c>
      <c r="AU16" s="59">
        <f>SUM(SUMIF($E:$E,"省级",AU:AU))</f>
        <v>1329.08167669095</v>
      </c>
      <c r="AV16" s="59"/>
      <c r="AW16" s="59"/>
      <c r="AX16" s="59">
        <f>SUM(SUMIF($E:$E,"省级",AX:AX))</f>
        <v>126568</v>
      </c>
      <c r="AY16" s="59">
        <v>64962</v>
      </c>
      <c r="AZ16" s="59">
        <f>SUM(SUMIF($E:$E,"省级",AZ:AZ))</f>
        <v>60800.759347144303</v>
      </c>
      <c r="BA16" s="59">
        <f>SUM(SUMIF($E:$E,"省级",BA:BA))</f>
        <v>65767.240652855704</v>
      </c>
      <c r="BB16" s="43">
        <f t="shared" si="1763"/>
        <v>1.0816845276118201</v>
      </c>
      <c r="BC16" s="59">
        <f>SUM(SUMIF($E:$E,"省级",BC:BC))</f>
        <v>-70094</v>
      </c>
      <c r="BD16" s="59">
        <f>SUM(SUMIF($E:$E,"省级",BD:BD))</f>
        <v>-4326.7593471443397</v>
      </c>
    </row>
    <row r="17" s="5" customFormat="1" ht="17" customHeight="1">
      <c r="A17" s="44"/>
      <c r="B17" s="45" t="s">
        <v>70</v>
      </c>
      <c r="C17" s="46"/>
      <c r="D17" s="46"/>
      <c r="E17" s="46"/>
      <c r="F17" s="47"/>
      <c r="G17" s="59">
        <f>SUM(SUMIF($F:$F,"是",G:G))</f>
        <v>1248591</v>
      </c>
      <c r="H17" s="60">
        <f>SUM(SUMIF($F:$F,"是",H:H))</f>
        <v>1088728.3</v>
      </c>
      <c r="I17" s="59">
        <f>SUM(SUMIF($F:$F,"是",I:I))</f>
        <v>51928.800000000003</v>
      </c>
      <c r="J17" s="59">
        <f>SUM(SUMIF($F:$F,"是",J:J))</f>
        <v>33762.400000000001</v>
      </c>
      <c r="K17" s="59">
        <f>SUM(SUMIF($F:$F,"是",K:K))</f>
        <v>252762.39999999999</v>
      </c>
      <c r="L17" s="59">
        <f t="shared" ref="L17:Q17" si="1781">SUM(SUMIF($F:$F,"是",L:L))</f>
        <v>428249.70000000001</v>
      </c>
      <c r="M17" s="59">
        <f t="shared" si="1781"/>
        <v>322025</v>
      </c>
      <c r="N17" s="59">
        <f t="shared" si="1781"/>
        <v>179433</v>
      </c>
      <c r="O17" s="59">
        <f t="shared" si="1781"/>
        <v>162681</v>
      </c>
      <c r="P17" s="59">
        <f t="shared" si="1781"/>
        <v>48601.949999999997</v>
      </c>
      <c r="Q17" s="59">
        <v>21639</v>
      </c>
      <c r="R17" s="59">
        <f t="shared" ref="R17:AP17" si="1782">SUM(SUMIF($F:$F,"是",R:R))</f>
        <v>14281</v>
      </c>
      <c r="S17" s="59">
        <f t="shared" si="1782"/>
        <v>19955</v>
      </c>
      <c r="T17" s="59">
        <f t="shared" si="1782"/>
        <v>3391</v>
      </c>
      <c r="U17" s="59">
        <f t="shared" si="1782"/>
        <v>21435</v>
      </c>
      <c r="V17" s="59">
        <f t="shared" si="1782"/>
        <v>17996.326359876199</v>
      </c>
      <c r="W17" s="59">
        <f t="shared" si="1782"/>
        <v>307110.97999999998</v>
      </c>
      <c r="X17" s="62">
        <f t="shared" si="1782"/>
        <v>13.6117876011373</v>
      </c>
      <c r="Y17" s="62">
        <f t="shared" si="1782"/>
        <v>81.450511369335601</v>
      </c>
      <c r="Z17" s="62">
        <f t="shared" si="1782"/>
        <v>72.318470708534093</v>
      </c>
      <c r="AA17" s="59">
        <f t="shared" si="1782"/>
        <v>5729.1375874895202</v>
      </c>
      <c r="AB17" s="59">
        <f t="shared" si="1782"/>
        <v>136483.88039999999</v>
      </c>
      <c r="AC17" s="59">
        <f t="shared" si="1782"/>
        <v>1721.92402794032</v>
      </c>
      <c r="AD17" s="59"/>
      <c r="AE17" s="59"/>
      <c r="AF17" s="59">
        <f t="shared" si="1782"/>
        <v>482</v>
      </c>
      <c r="AG17" s="59">
        <f t="shared" si="1782"/>
        <v>442.5</v>
      </c>
      <c r="AH17" s="59">
        <f t="shared" si="1782"/>
        <v>746.00991957104497</v>
      </c>
      <c r="AI17" s="59">
        <f t="shared" si="1782"/>
        <v>19.739867944950799</v>
      </c>
      <c r="AJ17" s="59">
        <f t="shared" si="1782"/>
        <v>18.7909180379764</v>
      </c>
      <c r="AK17" s="59">
        <f t="shared" si="1782"/>
        <v>1282.23404961508</v>
      </c>
      <c r="AL17" s="59"/>
      <c r="AM17" s="59"/>
      <c r="AN17" s="59">
        <f t="shared" si="1782"/>
        <v>31000</v>
      </c>
      <c r="AO17" s="59"/>
      <c r="AP17" s="59"/>
      <c r="AQ17" s="59">
        <f>SUM(SUMIF($F:$F,"是",AQ:AQ))</f>
        <v>0</v>
      </c>
      <c r="AR17" s="59"/>
      <c r="AS17" s="59">
        <f>SUM(SUMIF($F:$F,"是",AS:AS))</f>
        <v>0</v>
      </c>
      <c r="AT17" s="189">
        <f>SUM(SUMIF($F:$F,"是",AT:AT))</f>
        <v>0.24969205965185201</v>
      </c>
      <c r="AU17" s="59">
        <f t="shared" ref="AU17:BA17" si="1783">SUM(SUMIF($F:$F,"是",AU:AU))</f>
        <v>1491.6553705189699</v>
      </c>
      <c r="AV17" s="59"/>
      <c r="AW17" s="59"/>
      <c r="AX17" s="59">
        <f t="shared" si="1783"/>
        <v>59968</v>
      </c>
      <c r="AY17" s="59">
        <v>88119</v>
      </c>
      <c r="AZ17" s="59">
        <f t="shared" si="1783"/>
        <v>82474.402156814904</v>
      </c>
      <c r="BA17" s="59">
        <f t="shared" si="1783"/>
        <v>-22506.4021568149</v>
      </c>
      <c r="BB17" s="43">
        <f t="shared" si="1763"/>
        <v>-0.27288954594689602</v>
      </c>
      <c r="BC17" s="59">
        <f>SUM(SUMIF($F:$F,"是",BC:BC))</f>
        <v>-78966</v>
      </c>
      <c r="BD17" s="59">
        <f>SUM(SUMIF($F:$F,"是",BD:BD))</f>
        <v>-101472.40215681501</v>
      </c>
    </row>
    <row r="18" s="5" customFormat="1" ht="17" customHeight="1">
      <c r="A18" s="65"/>
      <c r="B18" s="66" t="s">
        <v>72</v>
      </c>
      <c r="C18" s="67">
        <v>1</v>
      </c>
      <c r="D18" s="67"/>
      <c r="E18" s="67"/>
      <c r="F18" s="68"/>
      <c r="G18" s="69">
        <f t="shared" ref="G18:V18" si="1784">G19+G20</f>
        <v>314463</v>
      </c>
      <c r="H18" s="69">
        <f t="shared" si="1784"/>
        <v>235879.10000000001</v>
      </c>
      <c r="I18" s="69">
        <f t="shared" si="1784"/>
        <v>10352.4</v>
      </c>
      <c r="J18" s="69">
        <f t="shared" si="1784"/>
        <v>85683.5</v>
      </c>
      <c r="K18" s="69">
        <f t="shared" si="1784"/>
        <v>139843.20000000001</v>
      </c>
      <c r="L18" s="69">
        <f t="shared" si="1784"/>
        <v>0</v>
      </c>
      <c r="M18" s="69">
        <f t="shared" si="1784"/>
        <v>0</v>
      </c>
      <c r="N18" s="69">
        <f t="shared" si="1784"/>
        <v>31197</v>
      </c>
      <c r="O18" s="69">
        <f t="shared" si="1784"/>
        <v>23091</v>
      </c>
      <c r="P18" s="69">
        <f t="shared" si="1784"/>
        <v>14577.200000000001</v>
      </c>
      <c r="Q18" s="59">
        <v>4542</v>
      </c>
      <c r="R18" s="69">
        <f>R19+R20</f>
        <v>0</v>
      </c>
      <c r="S18" s="69">
        <f>S19+S20</f>
        <v>11852</v>
      </c>
      <c r="T18" s="69">
        <f>T19+T20</f>
        <v>0</v>
      </c>
      <c r="U18" s="69">
        <f>U19+U20</f>
        <v>4672</v>
      </c>
      <c r="V18" s="69">
        <f>V19+V20</f>
        <v>3610.1144466433698</v>
      </c>
      <c r="W18" s="69"/>
      <c r="X18" s="69">
        <f t="shared" ref="X18:AE18" si="1785">X19+X20</f>
        <v>5.7779626336529502</v>
      </c>
      <c r="Y18" s="69">
        <f t="shared" si="1785"/>
        <v>25.8112989378766</v>
      </c>
      <c r="Z18" s="69">
        <f t="shared" si="1785"/>
        <v>24.8040305447457</v>
      </c>
      <c r="AA18" s="69">
        <f t="shared" si="1785"/>
        <v>1964.9987385362599</v>
      </c>
      <c r="AB18" s="69">
        <f t="shared" si="1785"/>
        <v>51131.599699999999</v>
      </c>
      <c r="AC18" s="69">
        <f t="shared" si="1785"/>
        <v>645.09251826969603</v>
      </c>
      <c r="AD18" s="69"/>
      <c r="AE18" s="69"/>
      <c r="AF18" s="69">
        <f t="shared" ref="AF18:AQ18" si="1786">AF19+AF20</f>
        <v>202</v>
      </c>
      <c r="AG18" s="69">
        <f t="shared" si="1786"/>
        <v>167.5</v>
      </c>
      <c r="AH18" s="69">
        <f t="shared" si="1786"/>
        <v>282.38793565683602</v>
      </c>
      <c r="AI18" s="69">
        <f t="shared" si="1786"/>
        <v>6.9048654536998999</v>
      </c>
      <c r="AJ18" s="69">
        <f t="shared" si="1786"/>
        <v>4.9078416441760897</v>
      </c>
      <c r="AK18" s="69">
        <f t="shared" si="1786"/>
        <v>334.89591373680099</v>
      </c>
      <c r="AL18" s="69"/>
      <c r="AM18" s="69"/>
      <c r="AN18" s="69">
        <f t="shared" si="1786"/>
        <v>7000</v>
      </c>
      <c r="AO18" s="69"/>
      <c r="AP18" s="69"/>
      <c r="AQ18" s="69">
        <f>AQ19+AQ20</f>
        <v>0</v>
      </c>
      <c r="AR18" s="69"/>
      <c r="AS18" s="69">
        <f>AS19+AS20</f>
        <v>0</v>
      </c>
      <c r="AT18" s="403">
        <f>AT19+AT20</f>
        <v>5.4527385075448e-002</v>
      </c>
      <c r="AU18" s="69">
        <f>AU19+AU20</f>
        <v>270.99900863911603</v>
      </c>
      <c r="AV18" s="69"/>
      <c r="AW18" s="69"/>
      <c r="AX18" s="69">
        <f>AX19+AX20</f>
        <v>14106</v>
      </c>
      <c r="AY18" s="69">
        <v>9426</v>
      </c>
      <c r="AZ18" s="69">
        <f t="shared" ref="AZ18:BD18" si="1787">AZ19+AZ20</f>
        <v>8822.2030972904595</v>
      </c>
      <c r="BA18" s="69">
        <f t="shared" si="1787"/>
        <v>5283.7969027095396</v>
      </c>
      <c r="BB18" s="336">
        <f t="shared" si="1763"/>
        <v>0.59892034273529104</v>
      </c>
      <c r="BC18" s="404">
        <v>1056</v>
      </c>
      <c r="BD18" s="69">
        <f t="shared" si="1787"/>
        <v>5771.7969027095396</v>
      </c>
    </row>
    <row r="19" s="5" customFormat="1" ht="17" customHeight="1">
      <c r="A19" s="44"/>
      <c r="B19" s="72" t="s">
        <v>74</v>
      </c>
      <c r="C19" s="46">
        <v>2</v>
      </c>
      <c r="D19" s="46"/>
      <c r="E19" s="46"/>
      <c r="F19" s="47"/>
      <c r="G19" s="73"/>
      <c r="H19" s="59"/>
      <c r="I19" s="59"/>
      <c r="J19" s="59"/>
      <c r="K19" s="59"/>
      <c r="L19" s="59"/>
      <c r="M19" s="59"/>
      <c r="N19" s="59"/>
      <c r="O19" s="59"/>
      <c r="P19" s="59">
        <f>L19*0.4+M19*0.6+N19*0.8+O19*1</f>
        <v>0</v>
      </c>
      <c r="Q19" s="59"/>
      <c r="R19" s="59"/>
      <c r="S19" s="59"/>
      <c r="T19" s="59"/>
      <c r="U19" s="59"/>
      <c r="V19" s="59"/>
      <c r="W19" s="59"/>
      <c r="X19" s="62"/>
      <c r="Y19" s="62"/>
      <c r="Z19" s="62"/>
      <c r="AA19" s="59"/>
      <c r="AB19" s="59"/>
      <c r="AC19" s="59"/>
      <c r="AD19" s="59"/>
      <c r="AE19" s="59"/>
      <c r="AF19" s="59"/>
      <c r="AG19" s="59"/>
      <c r="AH19" s="59"/>
      <c r="AI19" s="59"/>
      <c r="AJ19" s="59"/>
      <c r="AK19" s="59"/>
      <c r="AL19" s="59"/>
      <c r="AM19" s="59"/>
      <c r="AN19" s="59"/>
      <c r="AO19" s="62"/>
      <c r="AP19" s="62"/>
      <c r="AQ19" s="59"/>
      <c r="AR19" s="59"/>
      <c r="AS19" s="59"/>
      <c r="AT19" s="189"/>
      <c r="AU19" s="59"/>
      <c r="AV19" s="59"/>
      <c r="AW19" s="59"/>
      <c r="AX19" s="59"/>
      <c r="AY19" s="73"/>
      <c r="AZ19" s="73"/>
      <c r="BA19" s="50"/>
      <c r="BB19" s="43"/>
      <c r="BC19" s="50">
        <v>568</v>
      </c>
      <c r="BD19" s="50"/>
    </row>
    <row r="20" s="5" customFormat="1" ht="17" customHeight="1">
      <c r="A20" s="75"/>
      <c r="B20" s="76" t="s">
        <v>76</v>
      </c>
      <c r="C20" s="77">
        <v>3</v>
      </c>
      <c r="D20" s="77"/>
      <c r="E20" s="77"/>
      <c r="F20" s="78"/>
      <c r="G20" s="79">
        <f t="shared" ref="G20:V20" si="1788">SUM(G21:G34)</f>
        <v>314463</v>
      </c>
      <c r="H20" s="79">
        <f t="shared" si="1788"/>
        <v>235879.10000000001</v>
      </c>
      <c r="I20" s="79">
        <f t="shared" si="1788"/>
        <v>10352.4</v>
      </c>
      <c r="J20" s="79">
        <f t="shared" si="1788"/>
        <v>85683.5</v>
      </c>
      <c r="K20" s="79">
        <f t="shared" si="1788"/>
        <v>139843.20000000001</v>
      </c>
      <c r="L20" s="79">
        <f t="shared" si="1788"/>
        <v>0</v>
      </c>
      <c r="M20" s="79">
        <f t="shared" si="1788"/>
        <v>0</v>
      </c>
      <c r="N20" s="79">
        <f t="shared" si="1788"/>
        <v>31197</v>
      </c>
      <c r="O20" s="79">
        <f t="shared" si="1788"/>
        <v>23091</v>
      </c>
      <c r="P20" s="79">
        <f t="shared" si="1788"/>
        <v>14577.200000000001</v>
      </c>
      <c r="Q20" s="59">
        <v>4542</v>
      </c>
      <c r="R20" s="79">
        <f>SUM(R21:R34)</f>
        <v>0</v>
      </c>
      <c r="S20" s="79">
        <f>SUM(S21:S34)</f>
        <v>11852</v>
      </c>
      <c r="T20" s="79">
        <f>SUM(T21:T34)</f>
        <v>0</v>
      </c>
      <c r="U20" s="79">
        <f>SUM(U21:U34)</f>
        <v>4672</v>
      </c>
      <c r="V20" s="79">
        <f>SUM(V21:V34)</f>
        <v>3610.1144466433698</v>
      </c>
      <c r="W20" s="79"/>
      <c r="X20" s="79">
        <f t="shared" ref="X20:AE20" si="1789">SUM(X21:X34)</f>
        <v>5.7779626336529502</v>
      </c>
      <c r="Y20" s="79">
        <f t="shared" si="1789"/>
        <v>25.8112989378766</v>
      </c>
      <c r="Z20" s="79">
        <f t="shared" si="1789"/>
        <v>24.8040305447457</v>
      </c>
      <c r="AA20" s="79">
        <f t="shared" si="1789"/>
        <v>1964.9987385362599</v>
      </c>
      <c r="AB20" s="79">
        <f t="shared" si="1789"/>
        <v>51131.599699999999</v>
      </c>
      <c r="AC20" s="79">
        <f t="shared" si="1789"/>
        <v>645.09251826969603</v>
      </c>
      <c r="AD20" s="79"/>
      <c r="AE20" s="79"/>
      <c r="AF20" s="79">
        <f t="shared" ref="AF20:AQ20" si="1790">SUM(AF21:AF34)</f>
        <v>202</v>
      </c>
      <c r="AG20" s="79">
        <f t="shared" si="1790"/>
        <v>167.5</v>
      </c>
      <c r="AH20" s="79">
        <f t="shared" si="1790"/>
        <v>282.38793565683602</v>
      </c>
      <c r="AI20" s="79">
        <f t="shared" si="1790"/>
        <v>6.9048654536998999</v>
      </c>
      <c r="AJ20" s="79">
        <f t="shared" si="1790"/>
        <v>4.9078416441760897</v>
      </c>
      <c r="AK20" s="79">
        <f t="shared" si="1790"/>
        <v>334.89591373680099</v>
      </c>
      <c r="AL20" s="79"/>
      <c r="AM20" s="79"/>
      <c r="AN20" s="79">
        <f t="shared" si="1790"/>
        <v>7000</v>
      </c>
      <c r="AO20" s="79"/>
      <c r="AP20" s="79"/>
      <c r="AQ20" s="79">
        <f t="shared" ref="AQ20:AX20" si="1791">SUM(AQ21:AQ34)</f>
        <v>0</v>
      </c>
      <c r="AR20" s="79"/>
      <c r="AS20" s="79">
        <f t="shared" si="1791"/>
        <v>0</v>
      </c>
      <c r="AT20" s="405">
        <f t="shared" si="1791"/>
        <v>5.4527385075448e-002</v>
      </c>
      <c r="AU20" s="79">
        <f t="shared" si="1791"/>
        <v>270.99900863911603</v>
      </c>
      <c r="AV20" s="79"/>
      <c r="AW20" s="79"/>
      <c r="AX20" s="79">
        <f t="shared" si="1791"/>
        <v>14106</v>
      </c>
      <c r="AY20" s="79">
        <v>9426</v>
      </c>
      <c r="AZ20" s="79">
        <f t="shared" ref="AZ20:BD20" si="1792">SUM(AZ21:AZ34)</f>
        <v>8822.2030972904595</v>
      </c>
      <c r="BA20" s="79">
        <f t="shared" si="1792"/>
        <v>5283.7969027095396</v>
      </c>
      <c r="BB20" s="337">
        <f t="shared" ref="BB20:BB83" si="1793">BA20/AZ20</f>
        <v>0.59892034273529104</v>
      </c>
      <c r="BC20" s="406">
        <v>488</v>
      </c>
      <c r="BD20" s="79">
        <f t="shared" si="1792"/>
        <v>5771.7969027095396</v>
      </c>
    </row>
    <row r="21" s="5" customFormat="1" ht="17" customHeight="1">
      <c r="A21" s="46">
        <v>1</v>
      </c>
      <c r="B21" s="82" t="s">
        <v>59</v>
      </c>
      <c r="C21" s="46" t="s">
        <v>78</v>
      </c>
      <c r="D21" s="46"/>
      <c r="E21" s="46"/>
      <c r="F21" s="47"/>
      <c r="G21" s="73">
        <v>3200</v>
      </c>
      <c r="H21" s="59">
        <f t="shared" ref="H21:H34" si="1794">SUM(I21:M21)</f>
        <v>1920</v>
      </c>
      <c r="I21" s="59">
        <f t="shared" ref="I21:I84" si="1795">IF(D21="",G21*0.6,0)</f>
        <v>1920</v>
      </c>
      <c r="J21" s="59">
        <f t="shared" ref="J21:J84" si="1796">IF(D21=2017,G21*0.7,0)</f>
        <v>0</v>
      </c>
      <c r="K21" s="59">
        <f t="shared" ref="K21:K84" si="1797">IF(D21=2018,G21*0.8,0)</f>
        <v>0</v>
      </c>
      <c r="L21" s="59">
        <f t="shared" ref="L21:L84" si="1798">IF(D21=2019,G21*0.9,0)</f>
        <v>0</v>
      </c>
      <c r="M21" s="59">
        <f t="shared" ref="M21:M84" si="1799">IF(D21=2020,G21*1,0)</f>
        <v>0</v>
      </c>
      <c r="N21" s="59"/>
      <c r="O21" s="59"/>
      <c r="P21" s="59">
        <f>Q21*0.6+R21*0.8+S21*1+T21*1.25</f>
        <v>0</v>
      </c>
      <c r="Q21" s="59"/>
      <c r="R21" s="59"/>
      <c r="S21" s="59"/>
      <c r="T21" s="59"/>
      <c r="U21" s="59">
        <v>75</v>
      </c>
      <c r="V21" s="59">
        <f t="shared" ref="V21:V34" si="1800">H21/$H$9*298699*0.12+N21/$N$9*298699*0.15+P21/$P$9*298699*0.035+U21/$U$9*298699*0.025</f>
        <v>15.8370093354904</v>
      </c>
      <c r="W21" s="59">
        <v>11716.66</v>
      </c>
      <c r="X21" s="62">
        <f>($W$64-W21)/($W$64-$W$44)</f>
        <v>0.63609283171588904</v>
      </c>
      <c r="Y21" s="62">
        <f>(G21+N21)*X21/10000</f>
        <v>0.20354970614908499</v>
      </c>
      <c r="Z21" s="62">
        <f>Y21*0.2</f>
        <v>4.0709941229816901e-002</v>
      </c>
      <c r="AA21" s="59">
        <f>Z21/$Z$9*298699*0.12</f>
        <v>3.2250800134343902</v>
      </c>
      <c r="AB21" s="59">
        <v>243.59999999999999</v>
      </c>
      <c r="AC21" s="59">
        <f>(AB21/$AB$9*298699*0.03)</f>
        <v>3.07333504862939</v>
      </c>
      <c r="AD21" s="59"/>
      <c r="AE21" s="59"/>
      <c r="AF21" s="59">
        <v>0</v>
      </c>
      <c r="AG21" s="59">
        <f>AF21*0.5</f>
        <v>0</v>
      </c>
      <c r="AH21" s="59">
        <f t="shared" ref="AH21:AH34" si="1801">AG21/$AG$9*298699*0.02</f>
        <v>0</v>
      </c>
      <c r="AI21" s="59">
        <v>0</v>
      </c>
      <c r="AJ21" s="59">
        <f>AI21*0.5</f>
        <v>0</v>
      </c>
      <c r="AK21" s="59">
        <f t="shared" ref="AK21:AK34" si="1802">AJ21/$AJ$9*298699*0.02</f>
        <v>0</v>
      </c>
      <c r="AL21" s="189"/>
      <c r="AM21" s="59"/>
      <c r="AN21" s="59"/>
      <c r="AO21" s="62"/>
      <c r="AP21" s="62"/>
      <c r="AQ21" s="59"/>
      <c r="AR21" s="59"/>
      <c r="AS21" s="59"/>
      <c r="AT21" s="189">
        <f>VLOOKUP(B:B,综合进度!B:N,13,0)</f>
        <v>2.21886370379617e-003</v>
      </c>
      <c r="AU21" s="59">
        <f>AT21/$AT$9*298699*0.02</f>
        <v>13.2554473892042</v>
      </c>
      <c r="AV21" s="59"/>
      <c r="AW21" s="59"/>
      <c r="AX21" s="59">
        <f>ROUND(V21+AA21+AC21+AN21+AQ21+AS21+AU21+AW21+AH21+AK21,0)-1</f>
        <v>34</v>
      </c>
      <c r="AY21" s="59">
        <v>104</v>
      </c>
      <c r="AZ21" s="59">
        <f t="shared" ref="AZ21:AZ34" si="1803">AY21/$AY$9*280243</f>
        <v>97.338120318078396</v>
      </c>
      <c r="BA21" s="59">
        <f t="shared" ref="BA21:BA34" si="1804">AX21-AZ21</f>
        <v>-63.338120318078403</v>
      </c>
      <c r="BB21" s="43">
        <f t="shared" si="1793"/>
        <v>-0.650702110448652</v>
      </c>
      <c r="BC21" s="50">
        <v>-112</v>
      </c>
      <c r="BD21" s="50">
        <f t="shared" ref="BD21:BD34" si="1805">BC21+BA21</f>
        <v>-175.33812031807801</v>
      </c>
      <c r="BH21" s="407"/>
    </row>
    <row r="22" ht="17" customHeight="1">
      <c r="A22" s="46">
        <v>2</v>
      </c>
      <c r="B22" s="82" t="s">
        <v>57</v>
      </c>
      <c r="C22" s="46" t="s">
        <v>78</v>
      </c>
      <c r="D22" s="46"/>
      <c r="E22" s="46"/>
      <c r="F22" s="47"/>
      <c r="G22" s="73"/>
      <c r="H22" s="59">
        <f t="shared" si="1794"/>
        <v>0</v>
      </c>
      <c r="I22" s="59">
        <f t="shared" si="1795"/>
        <v>0</v>
      </c>
      <c r="J22" s="59">
        <f t="shared" si="1796"/>
        <v>0</v>
      </c>
      <c r="K22" s="59">
        <f t="shared" si="1797"/>
        <v>0</v>
      </c>
      <c r="L22" s="59">
        <f t="shared" si="1798"/>
        <v>0</v>
      </c>
      <c r="M22" s="59">
        <f t="shared" si="1799"/>
        <v>0</v>
      </c>
      <c r="N22" s="59">
        <v>11</v>
      </c>
      <c r="O22" s="59"/>
      <c r="P22" s="59"/>
      <c r="Q22" s="59"/>
      <c r="R22" s="59"/>
      <c r="S22" s="59"/>
      <c r="T22" s="59"/>
      <c r="U22" s="59">
        <v>0</v>
      </c>
      <c r="V22" s="59">
        <f t="shared" si="1800"/>
        <v>0.54953208973529899</v>
      </c>
      <c r="W22" s="59">
        <v>11985.23</v>
      </c>
      <c r="X22" s="62"/>
      <c r="Y22" s="62"/>
      <c r="Z22" s="62"/>
      <c r="AA22" s="59"/>
      <c r="AB22" s="59"/>
      <c r="AC22" s="59"/>
      <c r="AD22" s="59"/>
      <c r="AE22" s="59"/>
      <c r="AF22" s="59"/>
      <c r="AG22" s="59"/>
      <c r="AH22" s="59">
        <f t="shared" si="1801"/>
        <v>0</v>
      </c>
      <c r="AI22" s="59"/>
      <c r="AJ22" s="59"/>
      <c r="AK22" s="59">
        <f t="shared" si="1802"/>
        <v>0</v>
      </c>
      <c r="AL22" s="338"/>
      <c r="AM22" s="59"/>
      <c r="AN22" s="59"/>
      <c r="AO22" s="62"/>
      <c r="AP22" s="62"/>
      <c r="AQ22" s="59"/>
      <c r="AR22" s="59"/>
      <c r="AS22" s="59"/>
      <c r="AT22" s="189">
        <f>VLOOKUP(B:B,综合进度!B:N,13,0)</f>
        <v>1.8155869880251501e-003</v>
      </c>
      <c r="AU22" s="59"/>
      <c r="AV22" s="59"/>
      <c r="AW22" s="59"/>
      <c r="AX22" s="59">
        <v>0</v>
      </c>
      <c r="AY22" s="59">
        <v>0</v>
      </c>
      <c r="AZ22" s="59">
        <f t="shared" si="1803"/>
        <v>0</v>
      </c>
      <c r="BA22" s="59">
        <f t="shared" si="1804"/>
        <v>0</v>
      </c>
      <c r="BB22" s="43"/>
      <c r="BC22" s="50">
        <v>118</v>
      </c>
      <c r="BD22" s="50">
        <f t="shared" si="1805"/>
        <v>118</v>
      </c>
    </row>
    <row r="23" ht="17" customHeight="1">
      <c r="A23" s="46">
        <v>3</v>
      </c>
      <c r="B23" s="82" t="s">
        <v>63</v>
      </c>
      <c r="C23" s="46" t="s">
        <v>78</v>
      </c>
      <c r="D23" s="46"/>
      <c r="E23" s="46"/>
      <c r="F23" s="47"/>
      <c r="G23" s="73"/>
      <c r="H23" s="59">
        <f t="shared" si="1794"/>
        <v>0</v>
      </c>
      <c r="I23" s="59">
        <f t="shared" si="1795"/>
        <v>0</v>
      </c>
      <c r="J23" s="59">
        <f t="shared" si="1796"/>
        <v>0</v>
      </c>
      <c r="K23" s="59">
        <f t="shared" si="1797"/>
        <v>0</v>
      </c>
      <c r="L23" s="59">
        <f t="shared" si="1798"/>
        <v>0</v>
      </c>
      <c r="M23" s="59">
        <f t="shared" si="1799"/>
        <v>0</v>
      </c>
      <c r="N23" s="59"/>
      <c r="O23" s="59"/>
      <c r="P23" s="59"/>
      <c r="Q23" s="59"/>
      <c r="R23" s="59"/>
      <c r="S23" s="59"/>
      <c r="T23" s="59"/>
      <c r="U23" s="59">
        <v>0</v>
      </c>
      <c r="V23" s="59">
        <f t="shared" si="1800"/>
        <v>0</v>
      </c>
      <c r="W23" s="59">
        <v>12812.84</v>
      </c>
      <c r="X23" s="62"/>
      <c r="Y23" s="62"/>
      <c r="Z23" s="62"/>
      <c r="AA23" s="59"/>
      <c r="AB23" s="59"/>
      <c r="AC23" s="59"/>
      <c r="AD23" s="59"/>
      <c r="AE23" s="59"/>
      <c r="AF23" s="59"/>
      <c r="AG23" s="59"/>
      <c r="AH23" s="59">
        <f t="shared" si="1801"/>
        <v>0</v>
      </c>
      <c r="AI23" s="59"/>
      <c r="AJ23" s="59"/>
      <c r="AK23" s="59">
        <f t="shared" si="1802"/>
        <v>0</v>
      </c>
      <c r="AL23" s="338"/>
      <c r="AM23" s="59"/>
      <c r="AN23" s="59"/>
      <c r="AO23" s="62"/>
      <c r="AP23" s="62"/>
      <c r="AQ23" s="59"/>
      <c r="AR23" s="59"/>
      <c r="AS23" s="59"/>
      <c r="AT23" s="189">
        <f>VLOOKUP(B:B,综合进度!B:N,13,0)</f>
        <v>2.1006338585754401e-003</v>
      </c>
      <c r="AU23" s="59"/>
      <c r="AV23" s="59"/>
      <c r="AW23" s="59"/>
      <c r="AX23" s="59">
        <f t="shared" ref="AX21:AX34" si="1806">ROUND(V23+AA23+AC23+AN23+AQ23+AS23+AU23+AW23+AH23+AK23,0)</f>
        <v>0</v>
      </c>
      <c r="AY23" s="59">
        <v>0</v>
      </c>
      <c r="AZ23" s="59">
        <f t="shared" si="1803"/>
        <v>0</v>
      </c>
      <c r="BA23" s="59">
        <f t="shared" si="1804"/>
        <v>0</v>
      </c>
      <c r="BB23" s="43"/>
      <c r="BC23" s="50">
        <v>168</v>
      </c>
      <c r="BD23" s="50">
        <f t="shared" si="1805"/>
        <v>168</v>
      </c>
    </row>
    <row r="24" ht="17" customHeight="1">
      <c r="A24" s="46">
        <v>4</v>
      </c>
      <c r="B24" s="82" t="s">
        <v>61</v>
      </c>
      <c r="C24" s="46" t="s">
        <v>78</v>
      </c>
      <c r="D24" s="46"/>
      <c r="E24" s="46"/>
      <c r="F24" s="47"/>
      <c r="G24" s="73"/>
      <c r="H24" s="59">
        <f t="shared" si="1794"/>
        <v>0</v>
      </c>
      <c r="I24" s="59">
        <f t="shared" si="1795"/>
        <v>0</v>
      </c>
      <c r="J24" s="59">
        <f t="shared" si="1796"/>
        <v>0</v>
      </c>
      <c r="K24" s="59">
        <f t="shared" si="1797"/>
        <v>0</v>
      </c>
      <c r="L24" s="59">
        <f t="shared" si="1798"/>
        <v>0</v>
      </c>
      <c r="M24" s="59">
        <f t="shared" si="1799"/>
        <v>0</v>
      </c>
      <c r="N24" s="59"/>
      <c r="O24" s="59"/>
      <c r="P24" s="59"/>
      <c r="Q24" s="59"/>
      <c r="R24" s="59"/>
      <c r="S24" s="59"/>
      <c r="T24" s="59"/>
      <c r="U24" s="59">
        <v>0</v>
      </c>
      <c r="V24" s="59">
        <f t="shared" si="1800"/>
        <v>0</v>
      </c>
      <c r="W24" s="59"/>
      <c r="X24" s="62"/>
      <c r="Y24" s="62"/>
      <c r="Z24" s="62"/>
      <c r="AA24" s="59"/>
      <c r="AB24" s="59"/>
      <c r="AC24" s="59"/>
      <c r="AD24" s="59"/>
      <c r="AE24" s="59"/>
      <c r="AF24" s="59"/>
      <c r="AG24" s="59"/>
      <c r="AH24" s="59">
        <f t="shared" si="1801"/>
        <v>0</v>
      </c>
      <c r="AI24" s="59"/>
      <c r="AJ24" s="59"/>
      <c r="AK24" s="59">
        <f t="shared" si="1802"/>
        <v>0</v>
      </c>
      <c r="AL24" s="338"/>
      <c r="AM24" s="59"/>
      <c r="AN24" s="59"/>
      <c r="AO24" s="62"/>
      <c r="AP24" s="62"/>
      <c r="AQ24" s="59"/>
      <c r="AR24" s="59"/>
      <c r="AS24" s="59"/>
      <c r="AT24" s="189">
        <f>VLOOKUP(B:B,综合进度!B:N,13,0)</f>
        <v>1.7419487036136399e-003</v>
      </c>
      <c r="AU24" s="59"/>
      <c r="AV24" s="59"/>
      <c r="AW24" s="59"/>
      <c r="AX24" s="59">
        <f t="shared" si="1806"/>
        <v>0</v>
      </c>
      <c r="AY24" s="59">
        <v>0</v>
      </c>
      <c r="AZ24" s="59">
        <f t="shared" si="1803"/>
        <v>0</v>
      </c>
      <c r="BA24" s="59">
        <f t="shared" si="1804"/>
        <v>0</v>
      </c>
      <c r="BB24" s="43"/>
      <c r="BC24" s="50">
        <v>-91</v>
      </c>
      <c r="BD24" s="50">
        <f t="shared" si="1805"/>
        <v>-91</v>
      </c>
    </row>
    <row r="25" ht="17" customHeight="1">
      <c r="A25" s="46">
        <v>5</v>
      </c>
      <c r="B25" s="82" t="s">
        <v>67</v>
      </c>
      <c r="C25" s="46" t="s">
        <v>78</v>
      </c>
      <c r="D25" s="46"/>
      <c r="E25" s="46"/>
      <c r="F25" s="47"/>
      <c r="G25" s="73"/>
      <c r="H25" s="59">
        <f t="shared" si="1794"/>
        <v>0</v>
      </c>
      <c r="I25" s="59">
        <f t="shared" si="1795"/>
        <v>0</v>
      </c>
      <c r="J25" s="59">
        <f t="shared" si="1796"/>
        <v>0</v>
      </c>
      <c r="K25" s="59">
        <f t="shared" si="1797"/>
        <v>0</v>
      </c>
      <c r="L25" s="59">
        <f t="shared" si="1798"/>
        <v>0</v>
      </c>
      <c r="M25" s="59">
        <f t="shared" si="1799"/>
        <v>0</v>
      </c>
      <c r="N25" s="59"/>
      <c r="O25" s="59"/>
      <c r="P25" s="59"/>
      <c r="Q25" s="59"/>
      <c r="R25" s="59"/>
      <c r="S25" s="59"/>
      <c r="T25" s="59"/>
      <c r="U25" s="59">
        <v>0</v>
      </c>
      <c r="V25" s="59">
        <f t="shared" si="1800"/>
        <v>0</v>
      </c>
      <c r="W25" s="59">
        <v>16020.01</v>
      </c>
      <c r="X25" s="62"/>
      <c r="Y25" s="62"/>
      <c r="Z25" s="62"/>
      <c r="AA25" s="59"/>
      <c r="AB25" s="59"/>
      <c r="AC25" s="59"/>
      <c r="AD25" s="59"/>
      <c r="AE25" s="59"/>
      <c r="AF25" s="59"/>
      <c r="AG25" s="59"/>
      <c r="AH25" s="59">
        <f t="shared" si="1801"/>
        <v>0</v>
      </c>
      <c r="AI25" s="59"/>
      <c r="AJ25" s="59"/>
      <c r="AK25" s="59">
        <f t="shared" si="1802"/>
        <v>0</v>
      </c>
      <c r="AL25" s="338"/>
      <c r="AM25" s="59"/>
      <c r="AN25" s="59"/>
      <c r="AO25" s="62"/>
      <c r="AP25" s="62"/>
      <c r="AQ25" s="59"/>
      <c r="AR25" s="59"/>
      <c r="AS25" s="59"/>
      <c r="AT25" s="189">
        <f>VLOOKUP(B:B,综合进度!B:N,13,0)</f>
        <v>1.7382667893930601e-003</v>
      </c>
      <c r="AU25" s="59"/>
      <c r="AV25" s="59"/>
      <c r="AW25" s="59"/>
      <c r="AX25" s="59">
        <f t="shared" si="1806"/>
        <v>0</v>
      </c>
      <c r="AY25" s="59">
        <v>0</v>
      </c>
      <c r="AZ25" s="59">
        <f t="shared" si="1803"/>
        <v>0</v>
      </c>
      <c r="BA25" s="59">
        <f t="shared" si="1804"/>
        <v>0</v>
      </c>
      <c r="BB25" s="43"/>
      <c r="BC25" s="50">
        <v>-91</v>
      </c>
      <c r="BD25" s="50">
        <f t="shared" si="1805"/>
        <v>-91</v>
      </c>
    </row>
    <row r="26" ht="17" customHeight="1">
      <c r="A26" s="46">
        <v>6</v>
      </c>
      <c r="B26" s="82" t="s">
        <v>81</v>
      </c>
      <c r="C26" s="46" t="s">
        <v>78</v>
      </c>
      <c r="D26" s="46"/>
      <c r="E26" s="46"/>
      <c r="F26" s="47"/>
      <c r="G26" s="73"/>
      <c r="H26" s="59">
        <f t="shared" si="1794"/>
        <v>0</v>
      </c>
      <c r="I26" s="59">
        <f t="shared" si="1795"/>
        <v>0</v>
      </c>
      <c r="J26" s="59">
        <f t="shared" si="1796"/>
        <v>0</v>
      </c>
      <c r="K26" s="59">
        <f t="shared" si="1797"/>
        <v>0</v>
      </c>
      <c r="L26" s="59">
        <f t="shared" si="1798"/>
        <v>0</v>
      </c>
      <c r="M26" s="59">
        <f t="shared" si="1799"/>
        <v>0</v>
      </c>
      <c r="N26" s="59"/>
      <c r="O26" s="59"/>
      <c r="P26" s="59"/>
      <c r="Q26" s="59"/>
      <c r="R26" s="59"/>
      <c r="S26" s="59"/>
      <c r="T26" s="59"/>
      <c r="U26" s="59">
        <v>0</v>
      </c>
      <c r="V26" s="59">
        <f t="shared" si="1800"/>
        <v>0</v>
      </c>
      <c r="W26" s="59">
        <v>14377.950000000001</v>
      </c>
      <c r="X26" s="62"/>
      <c r="Y26" s="62"/>
      <c r="Z26" s="62"/>
      <c r="AA26" s="59"/>
      <c r="AB26" s="59"/>
      <c r="AC26" s="59"/>
      <c r="AD26" s="59"/>
      <c r="AE26" s="59"/>
      <c r="AF26" s="59"/>
      <c r="AG26" s="59"/>
      <c r="AH26" s="59">
        <f t="shared" si="1801"/>
        <v>0</v>
      </c>
      <c r="AI26" s="59"/>
      <c r="AJ26" s="59"/>
      <c r="AK26" s="59">
        <f t="shared" si="1802"/>
        <v>0</v>
      </c>
      <c r="AL26" s="338"/>
      <c r="AM26" s="59"/>
      <c r="AN26" s="59"/>
      <c r="AO26" s="62"/>
      <c r="AP26" s="62"/>
      <c r="AQ26" s="59"/>
      <c r="AR26" s="59"/>
      <c r="AS26" s="59"/>
      <c r="AT26" s="189">
        <f>VLOOKUP(B:B,综合进度!B:N,13,0)</f>
        <v>1.7677221031576699e-003</v>
      </c>
      <c r="AU26" s="59"/>
      <c r="AV26" s="59"/>
      <c r="AW26" s="59"/>
      <c r="AX26" s="59">
        <f t="shared" si="1806"/>
        <v>0</v>
      </c>
      <c r="AY26" s="59">
        <v>0</v>
      </c>
      <c r="AZ26" s="59">
        <f t="shared" si="1803"/>
        <v>0</v>
      </c>
      <c r="BA26" s="59">
        <f t="shared" si="1804"/>
        <v>0</v>
      </c>
      <c r="BB26" s="43"/>
      <c r="BC26" s="50">
        <v>309</v>
      </c>
      <c r="BD26" s="50">
        <f t="shared" si="1805"/>
        <v>309</v>
      </c>
    </row>
    <row r="27" ht="17" customHeight="1">
      <c r="A27" s="46">
        <v>7</v>
      </c>
      <c r="B27" s="82" t="s">
        <v>71</v>
      </c>
      <c r="C27" s="46" t="s">
        <v>78</v>
      </c>
      <c r="D27" s="46"/>
      <c r="E27" s="46"/>
      <c r="F27" s="47"/>
      <c r="G27" s="73">
        <v>2323</v>
      </c>
      <c r="H27" s="59">
        <f t="shared" si="1794"/>
        <v>1393.8</v>
      </c>
      <c r="I27" s="59">
        <f t="shared" si="1795"/>
        <v>1393.8</v>
      </c>
      <c r="J27" s="59">
        <f t="shared" si="1796"/>
        <v>0</v>
      </c>
      <c r="K27" s="59">
        <f t="shared" si="1797"/>
        <v>0</v>
      </c>
      <c r="L27" s="59">
        <f t="shared" si="1798"/>
        <v>0</v>
      </c>
      <c r="M27" s="59">
        <f t="shared" si="1799"/>
        <v>0</v>
      </c>
      <c r="N27" s="59">
        <v>723</v>
      </c>
      <c r="O27" s="59">
        <v>36</v>
      </c>
      <c r="P27" s="59">
        <f t="shared" ref="P27:P34" si="1807">Q27*0.6+R27*0.8+S27*1+T27*1.25</f>
        <v>0</v>
      </c>
      <c r="Q27" s="59"/>
      <c r="R27" s="59"/>
      <c r="S27" s="59"/>
      <c r="T27" s="59"/>
      <c r="U27" s="59">
        <v>59</v>
      </c>
      <c r="V27" s="59">
        <f t="shared" si="1800"/>
        <v>47.846553521035702</v>
      </c>
      <c r="W27" s="59">
        <v>11930.32</v>
      </c>
      <c r="X27" s="62">
        <f t="shared" ref="X27:X34" si="1808">($W$64-W27)/($W$64-$W$44)</f>
        <v>0.60161496977579598</v>
      </c>
      <c r="Y27" s="62">
        <f t="shared" ref="Y27:Y34" si="1809">(G27+N27)*X27/10000</f>
        <v>0.183251919793707</v>
      </c>
      <c r="Z27" s="62">
        <f t="shared" ref="Z27:Z31" si="1810">Y27*0.2</f>
        <v>3.6650383958741498e-002</v>
      </c>
      <c r="AA27" s="59">
        <f t="shared" ref="AA27:AA34" si="1811">Z27/$Z$9*298699*0.12</f>
        <v>2.90347805030631</v>
      </c>
      <c r="AB27" s="59">
        <v>128.80000000000001</v>
      </c>
      <c r="AC27" s="59">
        <f t="shared" ref="AC27:AC34" si="1812">(AB27/$AB$9*298699*0.03)</f>
        <v>1.6249817498500201</v>
      </c>
      <c r="AD27" s="59"/>
      <c r="AE27" s="59"/>
      <c r="AF27" s="59">
        <v>7</v>
      </c>
      <c r="AG27" s="59">
        <f t="shared" ref="AG27:AG31" si="1813">AF27*0.5</f>
        <v>3.5</v>
      </c>
      <c r="AH27" s="59">
        <f t="shared" si="1801"/>
        <v>5.9006434316353902</v>
      </c>
      <c r="AI27" s="59">
        <v>1</v>
      </c>
      <c r="AJ27" s="59">
        <f t="shared" ref="AJ27:AJ31" si="1814">AI27*0.5</f>
        <v>0.5</v>
      </c>
      <c r="AK27" s="59">
        <f t="shared" si="1802"/>
        <v>34.118451451485498</v>
      </c>
      <c r="AL27" s="338"/>
      <c r="AM27" s="59"/>
      <c r="AN27" s="59"/>
      <c r="AO27" s="62"/>
      <c r="AP27" s="62"/>
      <c r="AQ27" s="59"/>
      <c r="AR27" s="59"/>
      <c r="AS27" s="59"/>
      <c r="AT27" s="189">
        <f>VLOOKUP(B:B,综合进度!B:N,13,0)</f>
        <v>2.6367375084178899e-003</v>
      </c>
      <c r="AU27" s="59">
        <f t="shared" ref="AU27:AU34" si="1815">AT27/$AT$9*298699*0.02</f>
        <v>15.7518171405383</v>
      </c>
      <c r="AV27" s="59"/>
      <c r="AW27" s="59"/>
      <c r="AX27" s="59">
        <f t="shared" si="1806"/>
        <v>108</v>
      </c>
      <c r="AY27" s="59">
        <v>117</v>
      </c>
      <c r="AZ27" s="59">
        <f t="shared" si="1803"/>
        <v>109.50538535783799</v>
      </c>
      <c r="BA27" s="59">
        <f t="shared" si="1804"/>
        <v>-1.5053853578382499</v>
      </c>
      <c r="BB27" s="43">
        <f t="shared" si="1793"/>
        <v>-1.37471353844288e-002</v>
      </c>
      <c r="BC27" s="50">
        <v>622</v>
      </c>
      <c r="BD27" s="50">
        <f t="shared" si="1805"/>
        <v>620.49461464216199</v>
      </c>
    </row>
    <row r="28" s="5" customFormat="1" ht="17" customHeight="1">
      <c r="A28" s="46">
        <v>8</v>
      </c>
      <c r="B28" s="82" t="s">
        <v>69</v>
      </c>
      <c r="C28" s="46" t="s">
        <v>78</v>
      </c>
      <c r="D28" s="46"/>
      <c r="E28" s="46"/>
      <c r="F28" s="46"/>
      <c r="G28" s="73">
        <v>1149</v>
      </c>
      <c r="H28" s="59">
        <f t="shared" si="1794"/>
        <v>689.39999999999998</v>
      </c>
      <c r="I28" s="59">
        <f t="shared" si="1795"/>
        <v>689.39999999999998</v>
      </c>
      <c r="J28" s="59">
        <f t="shared" si="1796"/>
        <v>0</v>
      </c>
      <c r="K28" s="59">
        <f t="shared" si="1797"/>
        <v>0</v>
      </c>
      <c r="L28" s="59">
        <f t="shared" si="1798"/>
        <v>0</v>
      </c>
      <c r="M28" s="59">
        <f t="shared" si="1799"/>
        <v>0</v>
      </c>
      <c r="N28" s="59">
        <v>99</v>
      </c>
      <c r="O28" s="59">
        <v>0</v>
      </c>
      <c r="P28" s="59">
        <f t="shared" si="1807"/>
        <v>0</v>
      </c>
      <c r="Q28" s="59"/>
      <c r="R28" s="59"/>
      <c r="S28" s="59"/>
      <c r="T28" s="59"/>
      <c r="U28" s="59">
        <v>0</v>
      </c>
      <c r="V28" s="59">
        <f t="shared" si="1800"/>
        <v>9.2686659339048099</v>
      </c>
      <c r="W28" s="59">
        <v>14355.059999999999</v>
      </c>
      <c r="X28" s="62">
        <f t="shared" si="1808"/>
        <v>0.21033980848859599</v>
      </c>
      <c r="Y28" s="62">
        <f t="shared" si="1809"/>
        <v>2.6250408099376801e-002</v>
      </c>
      <c r="Z28" s="62">
        <f t="shared" si="1810"/>
        <v>5.25008161987537e-003</v>
      </c>
      <c r="AA28" s="59">
        <f t="shared" si="1811"/>
        <v>0.41591642703620302</v>
      </c>
      <c r="AB28" s="59">
        <v>72</v>
      </c>
      <c r="AC28" s="59">
        <f t="shared" si="1812"/>
        <v>0.90837489122050896</v>
      </c>
      <c r="AD28" s="59"/>
      <c r="AE28" s="59"/>
      <c r="AF28" s="59"/>
      <c r="AG28" s="59">
        <f t="shared" si="1813"/>
        <v>0</v>
      </c>
      <c r="AH28" s="59">
        <f t="shared" si="1801"/>
        <v>0</v>
      </c>
      <c r="AI28" s="59"/>
      <c r="AJ28" s="59">
        <f t="shared" si="1814"/>
        <v>0</v>
      </c>
      <c r="AK28" s="59">
        <f t="shared" si="1802"/>
        <v>0</v>
      </c>
      <c r="AL28" s="338"/>
      <c r="AM28" s="59"/>
      <c r="AN28" s="59"/>
      <c r="AO28" s="62"/>
      <c r="AP28" s="62"/>
      <c r="AQ28" s="59"/>
      <c r="AR28" s="59"/>
      <c r="AS28" s="59"/>
      <c r="AT28" s="189">
        <f>VLOOKUP(B:B,综合进度!B:N,13,0)</f>
        <v>3.9197995438968397e-003</v>
      </c>
      <c r="AU28" s="59">
        <f t="shared" si="1815"/>
        <v>23.416804079248902</v>
      </c>
      <c r="AV28" s="59"/>
      <c r="AW28" s="59"/>
      <c r="AX28" s="59">
        <f t="shared" si="1806"/>
        <v>34</v>
      </c>
      <c r="AY28" s="59">
        <v>143</v>
      </c>
      <c r="AZ28" s="59">
        <f t="shared" si="1803"/>
        <v>133.839915437358</v>
      </c>
      <c r="BA28" s="59">
        <f t="shared" si="1804"/>
        <v>-99.839915437357902</v>
      </c>
      <c r="BB28" s="43">
        <f t="shared" si="1793"/>
        <v>-0.74596517123538297</v>
      </c>
      <c r="BC28" s="50">
        <v>327</v>
      </c>
      <c r="BD28" s="50">
        <f t="shared" si="1805"/>
        <v>227.160084562642</v>
      </c>
    </row>
    <row r="29" ht="17" customHeight="1">
      <c r="A29" s="46">
        <v>9</v>
      </c>
      <c r="B29" s="82" t="s">
        <v>73</v>
      </c>
      <c r="C29" s="46" t="s">
        <v>78</v>
      </c>
      <c r="D29" s="46"/>
      <c r="E29" s="46"/>
      <c r="F29" s="46"/>
      <c r="G29" s="73">
        <v>3781</v>
      </c>
      <c r="H29" s="59">
        <f t="shared" si="1794"/>
        <v>2268.5999999999999</v>
      </c>
      <c r="I29" s="59">
        <f t="shared" si="1795"/>
        <v>2268.5999999999999</v>
      </c>
      <c r="J29" s="59">
        <f t="shared" si="1796"/>
        <v>0</v>
      </c>
      <c r="K29" s="59">
        <f t="shared" si="1797"/>
        <v>0</v>
      </c>
      <c r="L29" s="59">
        <f t="shared" si="1798"/>
        <v>0</v>
      </c>
      <c r="M29" s="59">
        <f t="shared" si="1799"/>
        <v>0</v>
      </c>
      <c r="N29" s="59">
        <v>1179</v>
      </c>
      <c r="O29" s="59">
        <v>18</v>
      </c>
      <c r="P29" s="59">
        <f t="shared" si="1807"/>
        <v>0</v>
      </c>
      <c r="Q29" s="59"/>
      <c r="R29" s="59"/>
      <c r="S29" s="59"/>
      <c r="T29" s="59"/>
      <c r="U29" s="59">
        <v>0</v>
      </c>
      <c r="V29" s="59">
        <f t="shared" si="1800"/>
        <v>73.125086485735807</v>
      </c>
      <c r="W29" s="59">
        <v>11272.93</v>
      </c>
      <c r="X29" s="62">
        <f t="shared" si="1808"/>
        <v>0.70769660256058597</v>
      </c>
      <c r="Y29" s="62">
        <f t="shared" si="1809"/>
        <v>0.35101751487005101</v>
      </c>
      <c r="Z29" s="62">
        <f t="shared" si="1810"/>
        <v>7.0203502974010096e-002</v>
      </c>
      <c r="AA29" s="59">
        <f t="shared" si="1811"/>
        <v>5.5615878450036202</v>
      </c>
      <c r="AB29" s="59">
        <v>234.90000000000001</v>
      </c>
      <c r="AC29" s="59">
        <f t="shared" si="1812"/>
        <v>2.96357308260691</v>
      </c>
      <c r="AD29" s="59"/>
      <c r="AE29" s="59"/>
      <c r="AF29" s="59">
        <v>38</v>
      </c>
      <c r="AG29" s="59">
        <f t="shared" si="1813"/>
        <v>19</v>
      </c>
      <c r="AH29" s="59">
        <f t="shared" si="1801"/>
        <v>32.032064343163498</v>
      </c>
      <c r="AI29" s="59">
        <v>1</v>
      </c>
      <c r="AJ29" s="59">
        <f t="shared" si="1814"/>
        <v>0.5</v>
      </c>
      <c r="AK29" s="59">
        <f t="shared" si="1802"/>
        <v>34.118451451485498</v>
      </c>
      <c r="AL29" s="338"/>
      <c r="AM29" s="59"/>
      <c r="AN29" s="59"/>
      <c r="AO29" s="62"/>
      <c r="AP29" s="62"/>
      <c r="AQ29" s="59"/>
      <c r="AR29" s="59"/>
      <c r="AS29" s="59"/>
      <c r="AT29" s="189">
        <f>VLOOKUP(B:B,综合进度!B:N,13,0)</f>
        <v>2.2865929690584299e-003</v>
      </c>
      <c r="AU29" s="59">
        <f t="shared" si="1815"/>
        <v>13.660060665295701</v>
      </c>
      <c r="AV29" s="59"/>
      <c r="AW29" s="59"/>
      <c r="AX29" s="59">
        <f t="shared" si="1806"/>
        <v>161</v>
      </c>
      <c r="AY29" s="59">
        <v>117</v>
      </c>
      <c r="AZ29" s="59">
        <f t="shared" si="1803"/>
        <v>109.50538535783799</v>
      </c>
      <c r="BA29" s="59">
        <f t="shared" si="1804"/>
        <v>51.4946146421617</v>
      </c>
      <c r="BB29" s="43">
        <f t="shared" si="1793"/>
        <v>0.47024732595469398</v>
      </c>
      <c r="BC29" s="50">
        <v>647</v>
      </c>
      <c r="BD29" s="50">
        <f t="shared" si="1805"/>
        <v>698.49461464216199</v>
      </c>
    </row>
    <row r="30" ht="17" customHeight="1">
      <c r="A30" s="46">
        <v>10</v>
      </c>
      <c r="B30" s="82" t="s">
        <v>75</v>
      </c>
      <c r="C30" s="46" t="s">
        <v>78</v>
      </c>
      <c r="D30" s="46"/>
      <c r="E30" s="46"/>
      <c r="F30" s="46"/>
      <c r="G30" s="73">
        <v>3751</v>
      </c>
      <c r="H30" s="59">
        <f t="shared" si="1794"/>
        <v>2250.5999999999999</v>
      </c>
      <c r="I30" s="59">
        <f t="shared" si="1795"/>
        <v>2250.5999999999999</v>
      </c>
      <c r="J30" s="59">
        <f t="shared" si="1796"/>
        <v>0</v>
      </c>
      <c r="K30" s="59">
        <f t="shared" si="1797"/>
        <v>0</v>
      </c>
      <c r="L30" s="59">
        <f t="shared" si="1798"/>
        <v>0</v>
      </c>
      <c r="M30" s="59">
        <f t="shared" si="1799"/>
        <v>0</v>
      </c>
      <c r="N30" s="59">
        <v>362</v>
      </c>
      <c r="O30" s="59">
        <v>0</v>
      </c>
      <c r="P30" s="59">
        <f t="shared" si="1807"/>
        <v>0</v>
      </c>
      <c r="Q30" s="59"/>
      <c r="R30" s="59"/>
      <c r="S30" s="59"/>
      <c r="T30" s="59"/>
      <c r="U30" s="59">
        <v>108</v>
      </c>
      <c r="V30" s="59">
        <f t="shared" si="1800"/>
        <v>37.665607998910602</v>
      </c>
      <c r="W30" s="59">
        <v>12043.469999999999</v>
      </c>
      <c r="X30" s="62">
        <f t="shared" si="1808"/>
        <v>0.58335619378346404</v>
      </c>
      <c r="Y30" s="62">
        <f t="shared" si="1809"/>
        <v>0.23993440250313899</v>
      </c>
      <c r="Z30" s="62">
        <f t="shared" si="1810"/>
        <v>4.7986880500627702e-002</v>
      </c>
      <c r="AA30" s="59">
        <f t="shared" si="1811"/>
        <v>3.80156601887423</v>
      </c>
      <c r="AB30" s="59">
        <v>382.06</v>
      </c>
      <c r="AC30" s="59">
        <f t="shared" si="1812"/>
        <v>4.8201904297181599</v>
      </c>
      <c r="AD30" s="59"/>
      <c r="AE30" s="59"/>
      <c r="AF30" s="59">
        <v>16</v>
      </c>
      <c r="AG30" s="59">
        <f t="shared" si="1813"/>
        <v>8</v>
      </c>
      <c r="AH30" s="59">
        <f t="shared" si="1801"/>
        <v>13.487184986595199</v>
      </c>
      <c r="AI30" s="59">
        <v>1</v>
      </c>
      <c r="AJ30" s="59">
        <f t="shared" si="1814"/>
        <v>0.5</v>
      </c>
      <c r="AK30" s="59">
        <f t="shared" si="1802"/>
        <v>34.118451451485498</v>
      </c>
      <c r="AL30" s="338"/>
      <c r="AM30" s="59"/>
      <c r="AN30" s="59"/>
      <c r="AO30" s="62"/>
      <c r="AP30" s="62"/>
      <c r="AQ30" s="59"/>
      <c r="AR30" s="59"/>
      <c r="AS30" s="59"/>
      <c r="AT30" s="189">
        <f>VLOOKUP(B:B,综合进度!B:N,13,0)</f>
        <v>1.9852816580064698e-003</v>
      </c>
      <c r="AU30" s="59">
        <f t="shared" si="1815"/>
        <v>11.860032919297501</v>
      </c>
      <c r="AV30" s="59"/>
      <c r="AW30" s="59"/>
      <c r="AX30" s="59">
        <f t="shared" si="1806"/>
        <v>106</v>
      </c>
      <c r="AY30" s="59">
        <v>121</v>
      </c>
      <c r="AZ30" s="59">
        <f t="shared" si="1803"/>
        <v>113.249159216226</v>
      </c>
      <c r="BA30" s="59">
        <f t="shared" si="1804"/>
        <v>-7.2491592162258804</v>
      </c>
      <c r="BB30" s="43">
        <f t="shared" si="1793"/>
        <v>-6.40107111292995e-002</v>
      </c>
      <c r="BC30" s="50">
        <v>672</v>
      </c>
      <c r="BD30" s="50">
        <f t="shared" si="1805"/>
        <v>664.75084078377404</v>
      </c>
    </row>
    <row r="31" ht="17" customHeight="1">
      <c r="A31" s="46">
        <v>11</v>
      </c>
      <c r="B31" s="82" t="s">
        <v>77</v>
      </c>
      <c r="C31" s="46" t="s">
        <v>78</v>
      </c>
      <c r="D31" s="46"/>
      <c r="E31" s="46"/>
      <c r="F31" s="46"/>
      <c r="G31" s="73">
        <v>3050</v>
      </c>
      <c r="H31" s="59">
        <f t="shared" si="1794"/>
        <v>1830</v>
      </c>
      <c r="I31" s="59">
        <f t="shared" si="1795"/>
        <v>1830</v>
      </c>
      <c r="J31" s="59">
        <f t="shared" si="1796"/>
        <v>0</v>
      </c>
      <c r="K31" s="59">
        <f t="shared" si="1797"/>
        <v>0</v>
      </c>
      <c r="L31" s="59">
        <f t="shared" si="1798"/>
        <v>0</v>
      </c>
      <c r="M31" s="59">
        <f t="shared" si="1799"/>
        <v>0</v>
      </c>
      <c r="N31" s="59">
        <v>501</v>
      </c>
      <c r="O31" s="59">
        <v>251</v>
      </c>
      <c r="P31" s="59">
        <f t="shared" si="1807"/>
        <v>0</v>
      </c>
      <c r="Q31" s="59"/>
      <c r="R31" s="59"/>
      <c r="S31" s="59"/>
      <c r="T31" s="59"/>
      <c r="U31" s="59">
        <v>0</v>
      </c>
      <c r="V31" s="59">
        <f t="shared" si="1800"/>
        <v>36.5036890189863</v>
      </c>
      <c r="W31" s="59">
        <v>11206.99</v>
      </c>
      <c r="X31" s="62">
        <f t="shared" si="1808"/>
        <v>0.71833720078360297</v>
      </c>
      <c r="Y31" s="62">
        <f t="shared" si="1809"/>
        <v>0.255081539998257</v>
      </c>
      <c r="Z31" s="62">
        <f t="shared" si="1810"/>
        <v>5.1016307999651497e-002</v>
      </c>
      <c r="AA31" s="59">
        <f t="shared" si="1811"/>
        <v>4.0415601280304001</v>
      </c>
      <c r="AB31" s="59">
        <v>443</v>
      </c>
      <c r="AC31" s="59">
        <f t="shared" si="1812"/>
        <v>5.5890288445928498</v>
      </c>
      <c r="AD31" s="59"/>
      <c r="AE31" s="59"/>
      <c r="AF31" s="59">
        <v>8</v>
      </c>
      <c r="AG31" s="59">
        <f t="shared" si="1813"/>
        <v>4</v>
      </c>
      <c r="AH31" s="59">
        <f t="shared" si="1801"/>
        <v>6.7435924932975899</v>
      </c>
      <c r="AI31" s="59">
        <v>0.99404761904761896</v>
      </c>
      <c r="AJ31" s="59">
        <f t="shared" si="1814"/>
        <v>0.49702380952380898</v>
      </c>
      <c r="AK31" s="59">
        <f t="shared" si="1802"/>
        <v>33.915365430940902</v>
      </c>
      <c r="AL31" s="338"/>
      <c r="AM31" s="59"/>
      <c r="AN31" s="59"/>
      <c r="AO31" s="62"/>
      <c r="AP31" s="62"/>
      <c r="AQ31" s="59"/>
      <c r="AR31" s="59"/>
      <c r="AS31" s="59"/>
      <c r="AT31" s="189">
        <f>VLOOKUP(B:B,综合进度!B:N,13,0)</f>
        <v>2.5540628249454199e-003</v>
      </c>
      <c r="AU31" s="59">
        <f t="shared" si="1815"/>
        <v>15.257920234967401</v>
      </c>
      <c r="AV31" s="59"/>
      <c r="AW31" s="59"/>
      <c r="AX31" s="59">
        <f t="shared" si="1806"/>
        <v>102</v>
      </c>
      <c r="AY31" s="59">
        <v>176</v>
      </c>
      <c r="AZ31" s="59">
        <f t="shared" si="1803"/>
        <v>164.726049769056</v>
      </c>
      <c r="BA31" s="59">
        <f t="shared" si="1804"/>
        <v>-62.726049769055798</v>
      </c>
      <c r="BB31" s="43">
        <f t="shared" si="1793"/>
        <v>-0.38079010488624598</v>
      </c>
      <c r="BC31" s="50">
        <v>1277</v>
      </c>
      <c r="BD31" s="50">
        <f t="shared" si="1805"/>
        <v>1214.27395023094</v>
      </c>
    </row>
    <row r="32" ht="17" customHeight="1">
      <c r="A32" s="46">
        <v>12</v>
      </c>
      <c r="B32" s="82" t="s">
        <v>79</v>
      </c>
      <c r="C32" s="46" t="s">
        <v>90</v>
      </c>
      <c r="D32" s="46">
        <v>2018</v>
      </c>
      <c r="E32" s="46" t="s">
        <v>91</v>
      </c>
      <c r="F32" s="46"/>
      <c r="G32" s="73">
        <v>81053</v>
      </c>
      <c r="H32" s="59">
        <f t="shared" si="1794"/>
        <v>64842.400000000001</v>
      </c>
      <c r="I32" s="59">
        <f t="shared" si="1795"/>
        <v>0</v>
      </c>
      <c r="J32" s="59">
        <f t="shared" si="1796"/>
        <v>0</v>
      </c>
      <c r="K32" s="59">
        <f t="shared" si="1797"/>
        <v>64842.400000000001</v>
      </c>
      <c r="L32" s="59">
        <f t="shared" si="1798"/>
        <v>0</v>
      </c>
      <c r="M32" s="59">
        <f t="shared" si="1799"/>
        <v>0</v>
      </c>
      <c r="N32" s="59">
        <v>7206</v>
      </c>
      <c r="O32" s="59">
        <v>1833</v>
      </c>
      <c r="P32" s="59">
        <f t="shared" si="1807"/>
        <v>0</v>
      </c>
      <c r="Q32" s="59"/>
      <c r="R32" s="59"/>
      <c r="S32" s="59"/>
      <c r="T32" s="59"/>
      <c r="U32" s="59">
        <v>1604</v>
      </c>
      <c r="V32" s="59">
        <f t="shared" si="1800"/>
        <v>847.806613636017</v>
      </c>
      <c r="W32" s="59">
        <v>10536.059999999999</v>
      </c>
      <c r="X32" s="62">
        <f t="shared" si="1808"/>
        <v>0.82660375470790803</v>
      </c>
      <c r="Y32" s="62">
        <f t="shared" si="1809"/>
        <v>7.2955220786765302</v>
      </c>
      <c r="Z32" s="62">
        <f t="shared" ref="Z32:Z34" si="1816">Y32*1</f>
        <v>7.2955220786765302</v>
      </c>
      <c r="AA32" s="59">
        <f t="shared" si="1811"/>
        <v>577.95815303894403</v>
      </c>
      <c r="AB32" s="59">
        <v>23053.16</v>
      </c>
      <c r="AC32" s="59">
        <f t="shared" si="1812"/>
        <v>290.84599593456898</v>
      </c>
      <c r="AD32" s="59"/>
      <c r="AE32" s="59"/>
      <c r="AF32" s="59">
        <v>27</v>
      </c>
      <c r="AG32" s="59">
        <f t="shared" ref="AG32:AG34" si="1817">AF32</f>
        <v>27</v>
      </c>
      <c r="AH32" s="59">
        <f t="shared" si="1801"/>
        <v>45.519249329758701</v>
      </c>
      <c r="AI32" s="59">
        <v>0.91668337275971301</v>
      </c>
      <c r="AJ32" s="59">
        <f t="shared" ref="AJ32:AJ34" si="1818">AI32</f>
        <v>0.91668337275971301</v>
      </c>
      <c r="AK32" s="59">
        <f t="shared" si="1802"/>
        <v>62.551634299772502</v>
      </c>
      <c r="AL32" s="338"/>
      <c r="AM32" s="59"/>
      <c r="AN32" s="59">
        <v>3000</v>
      </c>
      <c r="AO32" s="62"/>
      <c r="AP32" s="62"/>
      <c r="AQ32" s="59"/>
      <c r="AR32" s="59"/>
      <c r="AS32" s="59"/>
      <c r="AT32" s="189">
        <f>VLOOKUP(B:B,综合进度!B:N,13,0)</f>
        <v>7.5784821471509799e-003</v>
      </c>
      <c r="AU32" s="59">
        <f t="shared" si="1815"/>
        <v>45.273700777437</v>
      </c>
      <c r="AV32" s="59"/>
      <c r="AW32" s="59"/>
      <c r="AX32" s="59">
        <f t="shared" si="1806"/>
        <v>4870</v>
      </c>
      <c r="AY32" s="59">
        <v>1348</v>
      </c>
      <c r="AZ32" s="59">
        <f t="shared" si="1803"/>
        <v>1261.65179027663</v>
      </c>
      <c r="BA32" s="59">
        <f t="shared" si="1804"/>
        <v>3608.34820972337</v>
      </c>
      <c r="BB32" s="43">
        <f t="shared" si="1793"/>
        <v>2.86001909364564</v>
      </c>
      <c r="BC32" s="50">
        <v>-2740</v>
      </c>
      <c r="BD32" s="50">
        <f t="shared" si="1805"/>
        <v>868.34820972336797</v>
      </c>
    </row>
    <row r="33" s="84" customFormat="1" ht="17" customHeight="1">
      <c r="A33" s="85">
        <v>13</v>
      </c>
      <c r="B33" s="86" t="s">
        <v>65</v>
      </c>
      <c r="C33" s="85" t="s">
        <v>93</v>
      </c>
      <c r="D33" s="85">
        <v>2018</v>
      </c>
      <c r="E33" s="46" t="s">
        <v>94</v>
      </c>
      <c r="F33" s="46"/>
      <c r="G33" s="73">
        <v>93751</v>
      </c>
      <c r="H33" s="59">
        <f t="shared" si="1794"/>
        <v>75000.800000000003</v>
      </c>
      <c r="I33" s="59">
        <f t="shared" si="1795"/>
        <v>0</v>
      </c>
      <c r="J33" s="59">
        <f t="shared" si="1796"/>
        <v>0</v>
      </c>
      <c r="K33" s="59">
        <f t="shared" si="1797"/>
        <v>75000.800000000003</v>
      </c>
      <c r="L33" s="59">
        <f t="shared" si="1798"/>
        <v>0</v>
      </c>
      <c r="M33" s="59">
        <f t="shared" si="1799"/>
        <v>0</v>
      </c>
      <c r="N33" s="59">
        <v>14284</v>
      </c>
      <c r="O33" s="59">
        <v>18112</v>
      </c>
      <c r="P33" s="59">
        <f t="shared" si="1807"/>
        <v>14577.200000000001</v>
      </c>
      <c r="Q33" s="59">
        <v>4542</v>
      </c>
      <c r="R33" s="59"/>
      <c r="S33" s="59">
        <v>11852</v>
      </c>
      <c r="T33" s="59"/>
      <c r="U33" s="59">
        <v>2108</v>
      </c>
      <c r="V33" s="59">
        <f t="shared" si="1800"/>
        <v>1626.5682978473901</v>
      </c>
      <c r="W33" s="59">
        <v>9665.8299999999999</v>
      </c>
      <c r="X33" s="62">
        <f t="shared" si="1808"/>
        <v>0.96703092776850796</v>
      </c>
      <c r="Y33" s="62">
        <f t="shared" si="1809"/>
        <v>10.4473186281471</v>
      </c>
      <c r="Z33" s="62">
        <f t="shared" si="1816"/>
        <v>10.4473186281471</v>
      </c>
      <c r="AA33" s="59">
        <f t="shared" si="1811"/>
        <v>827.64645400519601</v>
      </c>
      <c r="AB33" s="59">
        <v>10971.8547</v>
      </c>
      <c r="AC33" s="59">
        <f t="shared" si="1812"/>
        <v>138.42440721666301</v>
      </c>
      <c r="AD33" s="59"/>
      <c r="AE33" s="59"/>
      <c r="AF33" s="59">
        <v>69</v>
      </c>
      <c r="AG33" s="59">
        <f t="shared" si="1817"/>
        <v>69</v>
      </c>
      <c r="AH33" s="59">
        <f t="shared" si="1801"/>
        <v>116.326970509383</v>
      </c>
      <c r="AI33" s="59">
        <v>0.99413446189256405</v>
      </c>
      <c r="AJ33" s="59">
        <f t="shared" si="1818"/>
        <v>0.99413446189256405</v>
      </c>
      <c r="AK33" s="59">
        <f t="shared" si="1802"/>
        <v>67.836656748660204</v>
      </c>
      <c r="AL33" s="338"/>
      <c r="AM33" s="59"/>
      <c r="AN33" s="59">
        <v>1000</v>
      </c>
      <c r="AO33" s="62"/>
      <c r="AP33" s="62"/>
      <c r="AQ33" s="59"/>
      <c r="AR33" s="59"/>
      <c r="AS33" s="59"/>
      <c r="AT33" s="189">
        <f>VLOOKUP(B:B,综合进度!B:N,13,0)</f>
        <v>1.39221345633283e-002</v>
      </c>
      <c r="AU33" s="59">
        <f t="shared" si="1815"/>
        <v>83.170553438631899</v>
      </c>
      <c r="AV33" s="59"/>
      <c r="AW33" s="59"/>
      <c r="AX33" s="59">
        <f t="shared" si="1806"/>
        <v>3860</v>
      </c>
      <c r="AY33" s="59">
        <v>5338</v>
      </c>
      <c r="AZ33" s="59">
        <f t="shared" si="1803"/>
        <v>4996.0662140183003</v>
      </c>
      <c r="BA33" s="59">
        <f t="shared" si="1804"/>
        <v>-1136.0662140182999</v>
      </c>
      <c r="BB33" s="43">
        <f t="shared" si="1793"/>
        <v>-0.22739214521029499</v>
      </c>
      <c r="BC33" s="50">
        <v>2123</v>
      </c>
      <c r="BD33" s="50">
        <f t="shared" si="1805"/>
        <v>986.93378598170398</v>
      </c>
      <c r="BG33" s="339"/>
    </row>
    <row r="34" ht="17" customHeight="1">
      <c r="A34" s="46">
        <v>14</v>
      </c>
      <c r="B34" s="82" t="s">
        <v>80</v>
      </c>
      <c r="C34" s="46" t="s">
        <v>90</v>
      </c>
      <c r="D34" s="46">
        <v>2017</v>
      </c>
      <c r="E34" s="46" t="s">
        <v>91</v>
      </c>
      <c r="F34" s="46"/>
      <c r="G34" s="73">
        <v>122405</v>
      </c>
      <c r="H34" s="59">
        <f t="shared" si="1794"/>
        <v>85683.5</v>
      </c>
      <c r="I34" s="59">
        <f t="shared" si="1795"/>
        <v>0</v>
      </c>
      <c r="J34" s="59">
        <f t="shared" si="1796"/>
        <v>85683.5</v>
      </c>
      <c r="K34" s="59">
        <f t="shared" si="1797"/>
        <v>0</v>
      </c>
      <c r="L34" s="59">
        <f t="shared" si="1798"/>
        <v>0</v>
      </c>
      <c r="M34" s="59">
        <f t="shared" si="1799"/>
        <v>0</v>
      </c>
      <c r="N34" s="59">
        <v>6832</v>
      </c>
      <c r="O34" s="59">
        <v>2841</v>
      </c>
      <c r="P34" s="59">
        <f t="shared" si="1807"/>
        <v>0</v>
      </c>
      <c r="Q34" s="59"/>
      <c r="R34" s="59"/>
      <c r="S34" s="59"/>
      <c r="T34" s="59"/>
      <c r="U34" s="59">
        <v>718</v>
      </c>
      <c r="V34" s="59">
        <f t="shared" si="1800"/>
        <v>914.94339077616405</v>
      </c>
      <c r="W34" s="59">
        <v>12393.389999999999</v>
      </c>
      <c r="X34" s="62">
        <f t="shared" si="1808"/>
        <v>0.52689034406860102</v>
      </c>
      <c r="Y34" s="62">
        <f t="shared" si="1809"/>
        <v>6.8093727396393797</v>
      </c>
      <c r="Z34" s="62">
        <f t="shared" si="1816"/>
        <v>6.8093727396393797</v>
      </c>
      <c r="AA34" s="59">
        <f t="shared" si="1811"/>
        <v>539.444943009432</v>
      </c>
      <c r="AB34" s="59">
        <v>15602.225</v>
      </c>
      <c r="AC34" s="59">
        <f t="shared" si="1812"/>
        <v>196.842631071846</v>
      </c>
      <c r="AD34" s="59"/>
      <c r="AE34" s="59"/>
      <c r="AF34" s="59">
        <v>37</v>
      </c>
      <c r="AG34" s="59">
        <f t="shared" si="1817"/>
        <v>37</v>
      </c>
      <c r="AH34" s="59">
        <f t="shared" si="1801"/>
        <v>62.378230563002703</v>
      </c>
      <c r="AI34" s="59">
        <v>1</v>
      </c>
      <c r="AJ34" s="59">
        <f t="shared" si="1818"/>
        <v>1</v>
      </c>
      <c r="AK34" s="59">
        <f t="shared" si="1802"/>
        <v>68.236902902970996</v>
      </c>
      <c r="AL34" s="338"/>
      <c r="AM34" s="59"/>
      <c r="AN34" s="59">
        <v>3000</v>
      </c>
      <c r="AO34" s="62"/>
      <c r="AP34" s="62"/>
      <c r="AQ34" s="59"/>
      <c r="AR34" s="59"/>
      <c r="AS34" s="59"/>
      <c r="AT34" s="189">
        <f>VLOOKUP(B:B,综合进度!B:N,13,0)</f>
        <v>8.2612717140825697e-003</v>
      </c>
      <c r="AU34" s="59">
        <f t="shared" si="1815"/>
        <v>49.352671994494898</v>
      </c>
      <c r="AV34" s="59"/>
      <c r="AW34" s="59"/>
      <c r="AX34" s="59">
        <f t="shared" si="1806"/>
        <v>4831</v>
      </c>
      <c r="AY34" s="59">
        <v>1962</v>
      </c>
      <c r="AZ34" s="59">
        <f t="shared" si="1803"/>
        <v>1836.3210775391301</v>
      </c>
      <c r="BA34" s="59">
        <f t="shared" si="1804"/>
        <v>2994.6789224608701</v>
      </c>
      <c r="BB34" s="43">
        <f t="shared" si="1793"/>
        <v>1.6308035447014799</v>
      </c>
      <c r="BC34" s="50">
        <v>-2741</v>
      </c>
      <c r="BD34" s="50">
        <f t="shared" si="1805"/>
        <v>253.678922460866</v>
      </c>
    </row>
    <row r="35" s="5" customFormat="1" ht="17" customHeight="1">
      <c r="A35" s="65"/>
      <c r="B35" s="66" t="s">
        <v>82</v>
      </c>
      <c r="C35" s="67">
        <v>1</v>
      </c>
      <c r="D35" s="67"/>
      <c r="E35" s="67"/>
      <c r="F35" s="68"/>
      <c r="G35" s="69">
        <f t="shared" ref="G35:U35" si="1819">G36+G37</f>
        <v>1520677</v>
      </c>
      <c r="H35" s="69">
        <f t="shared" si="1819"/>
        <v>1399657.5</v>
      </c>
      <c r="I35" s="69">
        <f t="shared" si="1819"/>
        <v>6786.6000000000004</v>
      </c>
      <c r="J35" s="69">
        <f t="shared" si="1819"/>
        <v>0</v>
      </c>
      <c r="K35" s="69">
        <f t="shared" si="1819"/>
        <v>76867.199999999997</v>
      </c>
      <c r="L35" s="69">
        <f t="shared" si="1819"/>
        <v>875504.69999999995</v>
      </c>
      <c r="M35" s="69">
        <f t="shared" si="1819"/>
        <v>440499</v>
      </c>
      <c r="N35" s="69">
        <f t="shared" si="1819"/>
        <v>228865</v>
      </c>
      <c r="O35" s="69">
        <f t="shared" si="1819"/>
        <v>306956</v>
      </c>
      <c r="P35" s="69">
        <f t="shared" si="1819"/>
        <v>224471.45000000001</v>
      </c>
      <c r="Q35" s="59">
        <v>18090</v>
      </c>
      <c r="R35" s="69">
        <f>R36+R37</f>
        <v>29259</v>
      </c>
      <c r="S35" s="69">
        <f>S36+S37</f>
        <v>106554</v>
      </c>
      <c r="T35" s="69">
        <f>T36+T37</f>
        <v>66925</v>
      </c>
      <c r="U35" s="69">
        <f>U36+U37</f>
        <v>49660</v>
      </c>
      <c r="V35" s="69">
        <f>V36+V37</f>
        <v>27897.756611609198</v>
      </c>
      <c r="W35" s="69"/>
      <c r="X35" s="69">
        <f t="shared" ref="X35:AE35" si="1820">X36+X37</f>
        <v>9.5793026325556507</v>
      </c>
      <c r="Y35" s="69">
        <f t="shared" si="1820"/>
        <v>151.31705237372199</v>
      </c>
      <c r="Z35" s="69">
        <f t="shared" si="1820"/>
        <v>150.52321043756501</v>
      </c>
      <c r="AA35" s="69">
        <f t="shared" si="1820"/>
        <v>11924.5909690632</v>
      </c>
      <c r="AB35" s="69">
        <f t="shared" si="1820"/>
        <v>164212.370432</v>
      </c>
      <c r="AC35" s="69">
        <f t="shared" si="1820"/>
        <v>2071.7554740031901</v>
      </c>
      <c r="AD35" s="69"/>
      <c r="AE35" s="69"/>
      <c r="AF35" s="69">
        <f t="shared" ref="AF35:AP35" si="1821">AF36+AF37</f>
        <v>730</v>
      </c>
      <c r="AG35" s="69">
        <f t="shared" si="1821"/>
        <v>721.5</v>
      </c>
      <c r="AH35" s="69">
        <f t="shared" si="1821"/>
        <v>1216.3754959785499</v>
      </c>
      <c r="AI35" s="69">
        <f t="shared" si="1821"/>
        <v>9.9106427753936295</v>
      </c>
      <c r="AJ35" s="69">
        <f t="shared" si="1821"/>
        <v>9.4106427753936295</v>
      </c>
      <c r="AK35" s="69">
        <f t="shared" si="1821"/>
        <v>642.15311731908002</v>
      </c>
      <c r="AL35" s="69"/>
      <c r="AM35" s="69"/>
      <c r="AN35" s="69">
        <f t="shared" si="1821"/>
        <v>16000</v>
      </c>
      <c r="AO35" s="71"/>
      <c r="AP35" s="69"/>
      <c r="AQ35" s="69">
        <f t="shared" ref="AP35:AU35" si="1822">AQ36+AQ37</f>
        <v>0</v>
      </c>
      <c r="AR35" s="69"/>
      <c r="AS35" s="69">
        <f t="shared" si="1822"/>
        <v>0</v>
      </c>
      <c r="AT35" s="403">
        <f t="shared" si="1822"/>
        <v>0.187887539877795</v>
      </c>
      <c r="AU35" s="69">
        <f t="shared" si="1822"/>
        <v>1122.4364054791499</v>
      </c>
      <c r="AV35" s="69"/>
      <c r="AW35" s="71"/>
      <c r="AX35" s="69">
        <f>AX36+AX37</f>
        <v>60875</v>
      </c>
      <c r="AY35" s="69">
        <v>61716</v>
      </c>
      <c r="AZ35" s="69">
        <f t="shared" ref="AZ35:BD35" si="1823">AZ36+AZ37</f>
        <v>57762.686861062801</v>
      </c>
      <c r="BA35" s="69">
        <f t="shared" si="1823"/>
        <v>3112.3131389372202</v>
      </c>
      <c r="BB35" s="336">
        <f t="shared" si="1793"/>
        <v>5.38810313035352e-002</v>
      </c>
      <c r="BC35" s="404">
        <v>27908</v>
      </c>
      <c r="BD35" s="69">
        <f t="shared" si="1823"/>
        <v>31046.313138937199</v>
      </c>
    </row>
    <row r="36" s="5" customFormat="1" ht="17" customHeight="1">
      <c r="A36" s="44"/>
      <c r="B36" s="72" t="s">
        <v>83</v>
      </c>
      <c r="C36" s="46">
        <v>2</v>
      </c>
      <c r="D36" s="46"/>
      <c r="E36" s="46"/>
      <c r="F36" s="46"/>
      <c r="G36" s="73"/>
      <c r="H36" s="59">
        <f t="shared" ref="H36:H48" si="1824">SUM(I36:M36)</f>
        <v>0</v>
      </c>
      <c r="I36" s="59">
        <f t="shared" si="1795"/>
        <v>0</v>
      </c>
      <c r="J36" s="59">
        <f t="shared" si="1796"/>
        <v>0</v>
      </c>
      <c r="K36" s="59">
        <f t="shared" si="1797"/>
        <v>0</v>
      </c>
      <c r="L36" s="59">
        <f t="shared" si="1798"/>
        <v>0</v>
      </c>
      <c r="M36" s="59">
        <f t="shared" si="1799"/>
        <v>0</v>
      </c>
      <c r="N36" s="59"/>
      <c r="O36" s="59"/>
      <c r="P36" s="59">
        <f>L36*0.4+M36*0.6+N36*0.8+O36*1</f>
        <v>0</v>
      </c>
      <c r="Q36" s="59"/>
      <c r="R36" s="59"/>
      <c r="S36" s="59"/>
      <c r="T36" s="59"/>
      <c r="U36" s="59"/>
      <c r="V36" s="59">
        <f>H36/$H$9*134866+N36/$N$9*202299+P36/$P$9*100000+U36/$U$9*34867</f>
        <v>0</v>
      </c>
      <c r="W36" s="59"/>
      <c r="X36" s="62"/>
      <c r="Y36" s="62"/>
      <c r="Z36" s="62"/>
      <c r="AA36" s="59"/>
      <c r="AB36" s="59"/>
      <c r="AC36" s="59"/>
      <c r="AD36" s="59"/>
      <c r="AE36" s="59"/>
      <c r="AF36" s="59"/>
      <c r="AG36" s="59">
        <f>AF36</f>
        <v>0</v>
      </c>
      <c r="AH36" s="59">
        <f>AG36/$AG$9*40459.89</f>
        <v>0</v>
      </c>
      <c r="AI36" s="59"/>
      <c r="AJ36" s="59">
        <f>AI36</f>
        <v>0</v>
      </c>
      <c r="AK36" s="59">
        <f>AJ36/$AJ$9*40459.89</f>
        <v>0</v>
      </c>
      <c r="AL36" s="59"/>
      <c r="AM36" s="59"/>
      <c r="AN36" s="59"/>
      <c r="AO36" s="62"/>
      <c r="AP36" s="62"/>
      <c r="AQ36" s="59"/>
      <c r="AR36" s="59"/>
      <c r="AS36" s="59"/>
      <c r="AT36" s="189"/>
      <c r="AU36" s="59"/>
      <c r="AV36" s="59"/>
      <c r="AW36" s="59"/>
      <c r="AX36" s="59">
        <f>V36+AA36+AC36+AE36+AH36+AK36+AM36+AN36+AQ36+AS36+AU36+AW36</f>
        <v>0</v>
      </c>
      <c r="AY36" s="73"/>
      <c r="AZ36" s="170"/>
      <c r="BA36" s="50"/>
      <c r="BB36" s="43"/>
      <c r="BC36" s="50">
        <v>-26</v>
      </c>
      <c r="BD36" s="50"/>
    </row>
    <row r="37" s="5" customFormat="1" ht="17" customHeight="1">
      <c r="A37" s="75"/>
      <c r="B37" s="76" t="s">
        <v>76</v>
      </c>
      <c r="C37" s="77">
        <v>3</v>
      </c>
      <c r="D37" s="77"/>
      <c r="E37" s="77"/>
      <c r="F37" s="78"/>
      <c r="G37" s="79">
        <f t="shared" ref="G37:U37" si="1825">SUM(G38:G48)</f>
        <v>1520677</v>
      </c>
      <c r="H37" s="79">
        <f t="shared" si="1825"/>
        <v>1399657.5</v>
      </c>
      <c r="I37" s="79">
        <f t="shared" si="1825"/>
        <v>6786.6000000000004</v>
      </c>
      <c r="J37" s="79">
        <f t="shared" si="1825"/>
        <v>0</v>
      </c>
      <c r="K37" s="79">
        <f t="shared" si="1825"/>
        <v>76867.199999999997</v>
      </c>
      <c r="L37" s="79">
        <f t="shared" si="1825"/>
        <v>875504.69999999995</v>
      </c>
      <c r="M37" s="79">
        <f t="shared" si="1825"/>
        <v>440499</v>
      </c>
      <c r="N37" s="79">
        <f t="shared" si="1825"/>
        <v>228865</v>
      </c>
      <c r="O37" s="79">
        <f t="shared" si="1825"/>
        <v>306956</v>
      </c>
      <c r="P37" s="79">
        <f t="shared" si="1825"/>
        <v>224471.45000000001</v>
      </c>
      <c r="Q37" s="59">
        <v>18090</v>
      </c>
      <c r="R37" s="79">
        <f>SUM(R38:R48)</f>
        <v>29259</v>
      </c>
      <c r="S37" s="79">
        <f>SUM(S38:S48)</f>
        <v>106554</v>
      </c>
      <c r="T37" s="79">
        <f>SUM(T38:T48)</f>
        <v>66925</v>
      </c>
      <c r="U37" s="79">
        <f>SUM(U38:U48)</f>
        <v>49660</v>
      </c>
      <c r="V37" s="79">
        <f>SUM(V38:V48)</f>
        <v>27897.756611609198</v>
      </c>
      <c r="W37" s="79"/>
      <c r="X37" s="79">
        <f t="shared" ref="X37:AE37" si="1826">SUM(X38:X48)</f>
        <v>9.5793026325556507</v>
      </c>
      <c r="Y37" s="79">
        <f t="shared" si="1826"/>
        <v>151.31705237372199</v>
      </c>
      <c r="Z37" s="79">
        <f t="shared" si="1826"/>
        <v>150.52321043756501</v>
      </c>
      <c r="AA37" s="79">
        <f t="shared" si="1826"/>
        <v>11924.5909690632</v>
      </c>
      <c r="AB37" s="79">
        <f t="shared" si="1826"/>
        <v>164212.370432</v>
      </c>
      <c r="AC37" s="79">
        <f t="shared" si="1826"/>
        <v>2071.7554740031901</v>
      </c>
      <c r="AD37" s="79"/>
      <c r="AE37" s="79"/>
      <c r="AF37" s="79">
        <f t="shared" ref="AF37:AP37" si="1827">SUM(AF38:AF48)</f>
        <v>730</v>
      </c>
      <c r="AG37" s="79">
        <f t="shared" si="1827"/>
        <v>721.5</v>
      </c>
      <c r="AH37" s="79">
        <f t="shared" si="1827"/>
        <v>1216.3754959785499</v>
      </c>
      <c r="AI37" s="79">
        <f t="shared" si="1827"/>
        <v>9.9106427753936295</v>
      </c>
      <c r="AJ37" s="79">
        <f t="shared" si="1827"/>
        <v>9.4106427753936295</v>
      </c>
      <c r="AK37" s="79">
        <f t="shared" si="1827"/>
        <v>642.15311731908002</v>
      </c>
      <c r="AL37" s="79"/>
      <c r="AM37" s="79"/>
      <c r="AN37" s="79">
        <f t="shared" si="1827"/>
        <v>16000</v>
      </c>
      <c r="AO37" s="81"/>
      <c r="AP37" s="79"/>
      <c r="AQ37" s="79">
        <f t="shared" ref="AP37:AU37" si="1828">SUM(AQ38:AQ48)</f>
        <v>0</v>
      </c>
      <c r="AR37" s="79"/>
      <c r="AS37" s="79">
        <f t="shared" si="1828"/>
        <v>0</v>
      </c>
      <c r="AT37" s="405">
        <f t="shared" si="1828"/>
        <v>0.187887539877795</v>
      </c>
      <c r="AU37" s="79">
        <f t="shared" si="1828"/>
        <v>1122.4364054791499</v>
      </c>
      <c r="AV37" s="79"/>
      <c r="AW37" s="81"/>
      <c r="AX37" s="79">
        <f>SUM(AX38:AX48)</f>
        <v>60875</v>
      </c>
      <c r="AY37" s="79">
        <v>61716</v>
      </c>
      <c r="AZ37" s="79">
        <f t="shared" ref="AZ37:BD37" si="1829">SUM(AZ38:AZ48)</f>
        <v>57762.686861062801</v>
      </c>
      <c r="BA37" s="79">
        <f t="shared" si="1829"/>
        <v>3112.3131389372202</v>
      </c>
      <c r="BB37" s="337">
        <f t="shared" si="1793"/>
        <v>5.38810313035352e-002</v>
      </c>
      <c r="BC37" s="406">
        <v>27934</v>
      </c>
      <c r="BD37" s="79">
        <f t="shared" si="1829"/>
        <v>31046.313138937199</v>
      </c>
    </row>
    <row r="38" ht="17" customHeight="1">
      <c r="A38" s="46">
        <v>15</v>
      </c>
      <c r="B38" s="82" t="s">
        <v>84</v>
      </c>
      <c r="C38" s="46" t="s">
        <v>93</v>
      </c>
      <c r="D38" s="46">
        <v>2019</v>
      </c>
      <c r="E38" s="46" t="s">
        <v>94</v>
      </c>
      <c r="F38" s="46"/>
      <c r="G38" s="73">
        <f>179608+30074</f>
        <v>209682</v>
      </c>
      <c r="H38" s="59">
        <f t="shared" si="1824"/>
        <v>188713.79999999999</v>
      </c>
      <c r="I38" s="59">
        <f t="shared" si="1795"/>
        <v>0</v>
      </c>
      <c r="J38" s="59">
        <f t="shared" si="1796"/>
        <v>0</v>
      </c>
      <c r="K38" s="59">
        <f t="shared" si="1797"/>
        <v>0</v>
      </c>
      <c r="L38" s="59">
        <f t="shared" si="1798"/>
        <v>188713.79999999999</v>
      </c>
      <c r="M38" s="59">
        <f t="shared" si="1799"/>
        <v>0</v>
      </c>
      <c r="N38" s="59">
        <v>19743</v>
      </c>
      <c r="O38" s="59">
        <v>34418</v>
      </c>
      <c r="P38" s="59">
        <f t="shared" ref="P38:P48" si="1830">Q38*0.6+R38*0.8+S38*1+T38*1.25</f>
        <v>66391.300000000003</v>
      </c>
      <c r="Q38" s="59">
        <v>5026</v>
      </c>
      <c r="R38" s="59">
        <v>3309</v>
      </c>
      <c r="S38" s="59">
        <f>52956-T38</f>
        <v>21866</v>
      </c>
      <c r="T38" s="59">
        <v>31090</v>
      </c>
      <c r="U38" s="59">
        <v>7208</v>
      </c>
      <c r="V38" s="59">
        <f t="shared" ref="V38:V48" si="1831">H38/$H$9*298699*0.12+N38/$N$9*298699*0.15+P38/$P$9*298699*0.035+U38/$U$9*298699*0.025</f>
        <v>4064.66487828971</v>
      </c>
      <c r="W38" s="59">
        <v>10059.08</v>
      </c>
      <c r="X38" s="62">
        <f t="shared" ref="X38:X48" si="1832">($W$64-W38)/($W$64-$W$44)</f>
        <v>0.90357300767142901</v>
      </c>
      <c r="Y38" s="62">
        <f t="shared" ref="Y38:Y48" si="1833">(G38+N38)*X38/10000</f>
        <v>20.730223728501802</v>
      </c>
      <c r="Z38" s="62">
        <f t="shared" ref="Z38:Z47" si="1834">Y38*1</f>
        <v>20.730223728501802</v>
      </c>
      <c r="AA38" s="59">
        <f t="shared" ref="AA38:AA48" si="1835">Z38/$Z$9*298699*0.12</f>
        <v>1642.26791297471</v>
      </c>
      <c r="AB38" s="59">
        <v>10623.15</v>
      </c>
      <c r="AC38" s="59">
        <f t="shared" ref="AC38:AC48" si="1836">(AB38/$AB$9*298699*0.03)</f>
        <v>134.02503785651601</v>
      </c>
      <c r="AD38" s="59"/>
      <c r="AE38" s="59"/>
      <c r="AF38" s="59">
        <v>135</v>
      </c>
      <c r="AG38" s="59">
        <f t="shared" ref="AG38:AG47" si="1837">AF38</f>
        <v>135</v>
      </c>
      <c r="AH38" s="59">
        <f t="shared" ref="AH38:AH48" si="1838">AG38/$AG$9*298699*0.02</f>
        <v>227.59624664879399</v>
      </c>
      <c r="AI38" s="59">
        <v>0.86429420401314405</v>
      </c>
      <c r="AJ38" s="59">
        <f t="shared" ref="AJ38:AJ47" si="1839">AI38</f>
        <v>0.86429420401314405</v>
      </c>
      <c r="AK38" s="59">
        <f t="shared" ref="AK38:AK48" si="1840">AJ38/$AJ$9*298699*0.02</f>
        <v>58.976759678845497</v>
      </c>
      <c r="AL38" s="338"/>
      <c r="AM38" s="59"/>
      <c r="AN38" s="59">
        <v>1000</v>
      </c>
      <c r="AO38" s="62"/>
      <c r="AP38" s="62"/>
      <c r="AQ38" s="59"/>
      <c r="AR38" s="59"/>
      <c r="AS38" s="59"/>
      <c r="AT38" s="189">
        <f>VLOOKUP(B:B,综合进度!B:N,13,0)</f>
        <v>2.2819396574886401e-002</v>
      </c>
      <c r="AU38" s="59">
        <f t="shared" ref="AU38:AU48" si="1841">AT38/$AT$9*298699*0.02</f>
        <v>136.32261875044</v>
      </c>
      <c r="AV38" s="59"/>
      <c r="AW38" s="59"/>
      <c r="AX38" s="59">
        <f t="shared" ref="AX38:AX48" si="1842">ROUND(V38+AA38+AC38+AN38+AQ38+AS38+AU38+AW38+AH38+AK38,0)</f>
        <v>7264</v>
      </c>
      <c r="AY38" s="59">
        <v>4106</v>
      </c>
      <c r="AZ38" s="59">
        <f t="shared" ref="AZ38:AZ48" si="1843">AY38/$AY$9*280243</f>
        <v>3842.9838656349002</v>
      </c>
      <c r="BA38" s="59">
        <f t="shared" ref="BA38:BA48" si="1844">AX38-AZ38</f>
        <v>3421.0161343650998</v>
      </c>
      <c r="BB38" s="43">
        <f t="shared" si="1793"/>
        <v>0.89019789152820294</v>
      </c>
      <c r="BC38" s="50">
        <v>8183</v>
      </c>
      <c r="BD38" s="50">
        <f t="shared" ref="BD38:BD48" si="1845">BC38+BA38</f>
        <v>11604.0161343651</v>
      </c>
      <c r="BF38" s="84"/>
      <c r="BG38" s="339"/>
    </row>
    <row r="39" ht="17" customHeight="1">
      <c r="A39" s="46">
        <v>16</v>
      </c>
      <c r="B39" s="82" t="s">
        <v>85</v>
      </c>
      <c r="C39" s="46" t="s">
        <v>93</v>
      </c>
      <c r="D39" s="46">
        <v>2019</v>
      </c>
      <c r="E39" s="46" t="s">
        <v>94</v>
      </c>
      <c r="F39" s="46"/>
      <c r="G39" s="73">
        <f>99652+21811</f>
        <v>121463</v>
      </c>
      <c r="H39" s="59">
        <f t="shared" si="1824"/>
        <v>109316.7</v>
      </c>
      <c r="I39" s="59">
        <f t="shared" si="1795"/>
        <v>0</v>
      </c>
      <c r="J39" s="59">
        <f t="shared" si="1796"/>
        <v>0</v>
      </c>
      <c r="K39" s="59">
        <f t="shared" si="1797"/>
        <v>0</v>
      </c>
      <c r="L39" s="59">
        <f t="shared" si="1798"/>
        <v>109316.7</v>
      </c>
      <c r="M39" s="59">
        <f t="shared" si="1799"/>
        <v>0</v>
      </c>
      <c r="N39" s="59">
        <v>14312</v>
      </c>
      <c r="O39" s="59">
        <v>19688</v>
      </c>
      <c r="P39" s="59">
        <f t="shared" si="1830"/>
        <v>44793.75</v>
      </c>
      <c r="Q39" s="59">
        <v>0</v>
      </c>
      <c r="R39" s="59"/>
      <c r="S39" s="59">
        <f>35835-T39</f>
        <v>0</v>
      </c>
      <c r="T39" s="59">
        <v>35835</v>
      </c>
      <c r="U39" s="59">
        <v>3517</v>
      </c>
      <c r="V39" s="59">
        <f t="shared" si="1831"/>
        <v>2610.8568979842898</v>
      </c>
      <c r="W39" s="59">
        <v>9634.3199999999997</v>
      </c>
      <c r="X39" s="62">
        <f t="shared" si="1832"/>
        <v>0.97211562977043797</v>
      </c>
      <c r="Y39" s="62">
        <f t="shared" si="1833"/>
        <v>13.198899963208101</v>
      </c>
      <c r="Z39" s="62">
        <f t="shared" si="1834"/>
        <v>13.198899963208101</v>
      </c>
      <c r="AA39" s="59">
        <f t="shared" si="1835"/>
        <v>1045.6293274991301</v>
      </c>
      <c r="AB39" s="59">
        <v>12573.790000000001</v>
      </c>
      <c r="AC39" s="59">
        <f t="shared" si="1836"/>
        <v>158.634932270549</v>
      </c>
      <c r="AD39" s="59"/>
      <c r="AE39" s="59"/>
      <c r="AF39" s="59">
        <v>15</v>
      </c>
      <c r="AG39" s="59">
        <f t="shared" si="1837"/>
        <v>15</v>
      </c>
      <c r="AH39" s="59">
        <f t="shared" si="1838"/>
        <v>25.2884718498659</v>
      </c>
      <c r="AI39" s="59">
        <v>0.97603414313854198</v>
      </c>
      <c r="AJ39" s="59">
        <f t="shared" si="1839"/>
        <v>0.97603414313854198</v>
      </c>
      <c r="AK39" s="59">
        <f t="shared" si="1840"/>
        <v>66.601547055329206</v>
      </c>
      <c r="AL39" s="338"/>
      <c r="AM39" s="59"/>
      <c r="AN39" s="59">
        <v>1000</v>
      </c>
      <c r="AO39" s="62"/>
      <c r="AP39" s="62"/>
      <c r="AQ39" s="59"/>
      <c r="AR39" s="59"/>
      <c r="AS39" s="59"/>
      <c r="AT39" s="189">
        <f>VLOOKUP(B:B,综合进度!B:N,13,0)</f>
        <v>1.63429239264569e-002</v>
      </c>
      <c r="AU39" s="59">
        <f t="shared" si="1841"/>
        <v>97.632300678175099</v>
      </c>
      <c r="AV39" s="59"/>
      <c r="AW39" s="59"/>
      <c r="AX39" s="59">
        <f t="shared" si="1842"/>
        <v>5005</v>
      </c>
      <c r="AY39" s="59">
        <v>3277</v>
      </c>
      <c r="AZ39" s="59">
        <f t="shared" si="1843"/>
        <v>3067.08673348407</v>
      </c>
      <c r="BA39" s="59">
        <f t="shared" si="1844"/>
        <v>1937.91326651593</v>
      </c>
      <c r="BB39" s="43">
        <f t="shared" si="1793"/>
        <v>0.63184169047432004</v>
      </c>
      <c r="BC39" s="50">
        <v>5942</v>
      </c>
      <c r="BD39" s="50">
        <f t="shared" si="1845"/>
        <v>7879.9132665159304</v>
      </c>
      <c r="BF39" s="84"/>
      <c r="BG39" s="339"/>
    </row>
    <row r="40" ht="17" customHeight="1">
      <c r="A40" s="46">
        <v>17</v>
      </c>
      <c r="B40" s="82" t="s">
        <v>86</v>
      </c>
      <c r="C40" s="46" t="s">
        <v>93</v>
      </c>
      <c r="D40" s="46">
        <v>2019</v>
      </c>
      <c r="E40" s="46" t="s">
        <v>94</v>
      </c>
      <c r="F40" s="46"/>
      <c r="G40" s="73">
        <f>143330-13821</f>
        <v>129509</v>
      </c>
      <c r="H40" s="59">
        <f t="shared" si="1824"/>
        <v>116558.10000000001</v>
      </c>
      <c r="I40" s="59">
        <f t="shared" si="1795"/>
        <v>0</v>
      </c>
      <c r="J40" s="59">
        <f t="shared" si="1796"/>
        <v>0</v>
      </c>
      <c r="K40" s="59">
        <f t="shared" si="1797"/>
        <v>0</v>
      </c>
      <c r="L40" s="59">
        <f t="shared" si="1798"/>
        <v>116558.10000000001</v>
      </c>
      <c r="M40" s="59">
        <f t="shared" si="1799"/>
        <v>0</v>
      </c>
      <c r="N40" s="59">
        <v>21282</v>
      </c>
      <c r="O40" s="59">
        <v>26169</v>
      </c>
      <c r="P40" s="59">
        <f t="shared" si="1830"/>
        <v>588.60000000000002</v>
      </c>
      <c r="Q40" s="59">
        <v>981</v>
      </c>
      <c r="R40" s="59"/>
      <c r="S40" s="59"/>
      <c r="T40" s="59"/>
      <c r="U40" s="59">
        <v>3894</v>
      </c>
      <c r="V40" s="59">
        <f t="shared" si="1831"/>
        <v>2004.8109048522599</v>
      </c>
      <c r="W40" s="59">
        <v>9470.0300000000007</v>
      </c>
      <c r="X40" s="62">
        <f t="shared" si="1832"/>
        <v>0.99862675931334699</v>
      </c>
      <c r="Y40" s="62">
        <f t="shared" si="1833"/>
        <v>15.0583927663619</v>
      </c>
      <c r="Z40" s="62">
        <f t="shared" si="1834"/>
        <v>15.0583927663619</v>
      </c>
      <c r="AA40" s="59">
        <f t="shared" si="1835"/>
        <v>1192.9401045086499</v>
      </c>
      <c r="AB40" s="59">
        <v>11513.559999999999</v>
      </c>
      <c r="AC40" s="59">
        <f t="shared" si="1836"/>
        <v>145.258733507789</v>
      </c>
      <c r="AD40" s="59"/>
      <c r="AE40" s="59"/>
      <c r="AF40" s="59">
        <v>86</v>
      </c>
      <c r="AG40" s="59">
        <f t="shared" si="1837"/>
        <v>86</v>
      </c>
      <c r="AH40" s="59">
        <f t="shared" si="1838"/>
        <v>144.987238605898</v>
      </c>
      <c r="AI40" s="59">
        <v>0.85737385836202995</v>
      </c>
      <c r="AJ40" s="59">
        <f t="shared" si="1839"/>
        <v>0.85737385836202995</v>
      </c>
      <c r="AK40" s="59">
        <f t="shared" si="1840"/>
        <v>58.504536724595397</v>
      </c>
      <c r="AL40" s="338"/>
      <c r="AM40" s="59"/>
      <c r="AN40" s="59">
        <v>1000</v>
      </c>
      <c r="AO40" s="62"/>
      <c r="AP40" s="62"/>
      <c r="AQ40" s="59"/>
      <c r="AR40" s="59"/>
      <c r="AS40" s="59"/>
      <c r="AT40" s="189">
        <f>VLOOKUP(B:B,综合进度!B:N,13,0)</f>
        <v>1.3936707806400699e-002</v>
      </c>
      <c r="AU40" s="59">
        <f t="shared" si="1841"/>
        <v>83.257613701281798</v>
      </c>
      <c r="AV40" s="59"/>
      <c r="AW40" s="59"/>
      <c r="AX40" s="59">
        <f t="shared" si="1842"/>
        <v>4630</v>
      </c>
      <c r="AY40" s="59">
        <v>4413</v>
      </c>
      <c r="AZ40" s="59">
        <f t="shared" si="1843"/>
        <v>4130.3185092661597</v>
      </c>
      <c r="BA40" s="59">
        <f t="shared" si="1844"/>
        <v>499.68149073384501</v>
      </c>
      <c r="BB40" s="43">
        <f t="shared" si="1793"/>
        <v>0.120978924412932</v>
      </c>
      <c r="BC40" s="50">
        <v>1715</v>
      </c>
      <c r="BD40" s="50">
        <f t="shared" si="1845"/>
        <v>2214.6814907338398</v>
      </c>
      <c r="BF40" s="84"/>
      <c r="BG40" s="339"/>
    </row>
    <row r="41" ht="17" customHeight="1">
      <c r="A41" s="46">
        <v>18</v>
      </c>
      <c r="B41" s="82" t="s">
        <v>87</v>
      </c>
      <c r="C41" s="46" t="s">
        <v>90</v>
      </c>
      <c r="D41" s="46">
        <v>2019</v>
      </c>
      <c r="E41" s="46" t="s">
        <v>94</v>
      </c>
      <c r="F41" s="46"/>
      <c r="G41" s="73">
        <f>93810</f>
        <v>93810</v>
      </c>
      <c r="H41" s="59">
        <f t="shared" si="1824"/>
        <v>84429</v>
      </c>
      <c r="I41" s="59">
        <f t="shared" si="1795"/>
        <v>0</v>
      </c>
      <c r="J41" s="59">
        <f t="shared" si="1796"/>
        <v>0</v>
      </c>
      <c r="K41" s="59">
        <f t="shared" si="1797"/>
        <v>0</v>
      </c>
      <c r="L41" s="59">
        <f t="shared" si="1798"/>
        <v>84429</v>
      </c>
      <c r="M41" s="59">
        <f t="shared" si="1799"/>
        <v>0</v>
      </c>
      <c r="N41" s="59">
        <v>12277</v>
      </c>
      <c r="O41" s="59">
        <v>28774</v>
      </c>
      <c r="P41" s="59">
        <f t="shared" si="1830"/>
        <v>18762.200000000001</v>
      </c>
      <c r="Q41" s="59">
        <v>3640</v>
      </c>
      <c r="R41" s="59">
        <v>3084</v>
      </c>
      <c r="S41" s="59">
        <v>14111</v>
      </c>
      <c r="T41" s="59"/>
      <c r="U41" s="59">
        <v>1458</v>
      </c>
      <c r="V41" s="59">
        <f t="shared" si="1831"/>
        <v>1648.9570023803701</v>
      </c>
      <c r="W41" s="59">
        <v>11420.52</v>
      </c>
      <c r="X41" s="62">
        <f t="shared" si="1832"/>
        <v>0.68388031666833404</v>
      </c>
      <c r="Y41" s="62">
        <f t="shared" si="1833"/>
        <v>7.25508111543936</v>
      </c>
      <c r="Z41" s="62">
        <f t="shared" si="1834"/>
        <v>7.25508111543936</v>
      </c>
      <c r="AA41" s="59">
        <f t="shared" si="1835"/>
        <v>574.75438171626104</v>
      </c>
      <c r="AB41" s="59">
        <v>7273.5217000000002</v>
      </c>
      <c r="AC41" s="59">
        <f t="shared" si="1836"/>
        <v>91.765062264270995</v>
      </c>
      <c r="AD41" s="59"/>
      <c r="AE41" s="59"/>
      <c r="AF41" s="59">
        <v>37</v>
      </c>
      <c r="AG41" s="59">
        <f t="shared" si="1837"/>
        <v>37</v>
      </c>
      <c r="AH41" s="59">
        <f t="shared" si="1838"/>
        <v>62.378230563002703</v>
      </c>
      <c r="AI41" s="59">
        <v>0.89843485002665102</v>
      </c>
      <c r="AJ41" s="59">
        <f t="shared" si="1839"/>
        <v>0.89843485002665102</v>
      </c>
      <c r="AK41" s="59">
        <f t="shared" si="1840"/>
        <v>61.306411625913903</v>
      </c>
      <c r="AL41" s="338"/>
      <c r="AM41" s="59"/>
      <c r="AN41" s="59">
        <f>1000+2000</f>
        <v>3000</v>
      </c>
      <c r="AO41" s="62"/>
      <c r="AP41" s="62"/>
      <c r="AQ41" s="59"/>
      <c r="AR41" s="59"/>
      <c r="AS41" s="59"/>
      <c r="AT41" s="189">
        <f>VLOOKUP(B:B,综合进度!B:N,13,0)</f>
        <v>1.2873672598865e-002</v>
      </c>
      <c r="AU41" s="59">
        <f t="shared" si="1841"/>
        <v>76.907062632167495</v>
      </c>
      <c r="AV41" s="59"/>
      <c r="AW41" s="59"/>
      <c r="AX41" s="59">
        <f t="shared" si="1842"/>
        <v>5516</v>
      </c>
      <c r="AY41" s="59">
        <v>2898</v>
      </c>
      <c r="AZ41" s="59">
        <f t="shared" si="1843"/>
        <v>2712.3641604018399</v>
      </c>
      <c r="BA41" s="59">
        <f t="shared" si="1844"/>
        <v>2803.6358395981601</v>
      </c>
      <c r="BB41" s="43">
        <f t="shared" si="1793"/>
        <v>1.03365023049958</v>
      </c>
      <c r="BC41" s="50">
        <v>1950</v>
      </c>
      <c r="BD41" s="50">
        <f t="shared" si="1845"/>
        <v>4753.6358395981597</v>
      </c>
      <c r="BF41" s="84"/>
      <c r="BG41" s="339"/>
    </row>
    <row r="42" ht="17" customHeight="1">
      <c r="A42" s="46">
        <v>19</v>
      </c>
      <c r="B42" s="82" t="s">
        <v>88</v>
      </c>
      <c r="C42" s="46" t="s">
        <v>93</v>
      </c>
      <c r="D42" s="46">
        <v>2019</v>
      </c>
      <c r="E42" s="46" t="s">
        <v>94</v>
      </c>
      <c r="F42" s="46"/>
      <c r="G42" s="73">
        <f>97140-16963</f>
        <v>80177</v>
      </c>
      <c r="H42" s="59">
        <f t="shared" si="1824"/>
        <v>72159.300000000003</v>
      </c>
      <c r="I42" s="59">
        <f t="shared" si="1795"/>
        <v>0</v>
      </c>
      <c r="J42" s="59">
        <f t="shared" si="1796"/>
        <v>0</v>
      </c>
      <c r="K42" s="59">
        <f t="shared" si="1797"/>
        <v>0</v>
      </c>
      <c r="L42" s="59">
        <f t="shared" si="1798"/>
        <v>72159.300000000003</v>
      </c>
      <c r="M42" s="59">
        <f t="shared" si="1799"/>
        <v>0</v>
      </c>
      <c r="N42" s="59">
        <v>18082</v>
      </c>
      <c r="O42" s="59">
        <v>29592</v>
      </c>
      <c r="P42" s="59">
        <f t="shared" si="1830"/>
        <v>555</v>
      </c>
      <c r="Q42" s="59">
        <v>925</v>
      </c>
      <c r="R42" s="59"/>
      <c r="S42" s="59"/>
      <c r="T42" s="59"/>
      <c r="U42" s="59">
        <v>3144</v>
      </c>
      <c r="V42" s="59">
        <f t="shared" si="1831"/>
        <v>1527.7937178656</v>
      </c>
      <c r="W42" s="59">
        <v>10218.719999999999</v>
      </c>
      <c r="X42" s="62">
        <f t="shared" si="1832"/>
        <v>0.877812238785739</v>
      </c>
      <c r="Y42" s="62">
        <f t="shared" si="1833"/>
        <v>8.6252952770847902</v>
      </c>
      <c r="Z42" s="62">
        <f t="shared" si="1834"/>
        <v>8.6252952770847902</v>
      </c>
      <c r="AA42" s="59">
        <f t="shared" si="1835"/>
        <v>683.304042397442</v>
      </c>
      <c r="AB42" s="59">
        <v>16047.1</v>
      </c>
      <c r="AC42" s="59">
        <f t="shared" si="1836"/>
        <v>202.455315512564</v>
      </c>
      <c r="AD42" s="59"/>
      <c r="AE42" s="59"/>
      <c r="AF42" s="59">
        <v>104</v>
      </c>
      <c r="AG42" s="59">
        <f t="shared" si="1837"/>
        <v>104</v>
      </c>
      <c r="AH42" s="59">
        <f t="shared" si="1838"/>
        <v>175.33340482573701</v>
      </c>
      <c r="AI42" s="59">
        <v>1</v>
      </c>
      <c r="AJ42" s="59">
        <f t="shared" si="1839"/>
        <v>1</v>
      </c>
      <c r="AK42" s="59">
        <f t="shared" si="1840"/>
        <v>68.236902902970996</v>
      </c>
      <c r="AL42" s="338"/>
      <c r="AM42" s="59"/>
      <c r="AN42" s="59">
        <v>1000</v>
      </c>
      <c r="AO42" s="62"/>
      <c r="AP42" s="62"/>
      <c r="AQ42" s="59"/>
      <c r="AR42" s="59"/>
      <c r="AS42" s="59"/>
      <c r="AT42" s="189">
        <f>VLOOKUP(B:B,综合进度!B:N,13,0)</f>
        <v>1.2365692515674201e-002</v>
      </c>
      <c r="AU42" s="59">
        <f t="shared" si="1841"/>
        <v>73.872399774787198</v>
      </c>
      <c r="AV42" s="59"/>
      <c r="AW42" s="59"/>
      <c r="AX42" s="59">
        <f t="shared" si="1842"/>
        <v>3731</v>
      </c>
      <c r="AY42" s="59">
        <v>4162</v>
      </c>
      <c r="AZ42" s="59">
        <f t="shared" si="1843"/>
        <v>3895.39669965233</v>
      </c>
      <c r="BA42" s="59">
        <f t="shared" si="1844"/>
        <v>-164.39669965233099</v>
      </c>
      <c r="BB42" s="43">
        <f t="shared" si="1793"/>
        <v>-4.2202813301917101e-002</v>
      </c>
      <c r="BC42" s="50">
        <v>1550</v>
      </c>
      <c r="BD42" s="50">
        <f t="shared" si="1845"/>
        <v>1385.60330034767</v>
      </c>
      <c r="BF42" s="84"/>
      <c r="BG42" s="339"/>
    </row>
    <row r="43" ht="17" customHeight="1">
      <c r="A43" s="46">
        <v>20</v>
      </c>
      <c r="B43" s="82" t="s">
        <v>89</v>
      </c>
      <c r="C43" s="46" t="s">
        <v>93</v>
      </c>
      <c r="D43" s="46">
        <v>2019</v>
      </c>
      <c r="E43" s="46" t="s">
        <v>94</v>
      </c>
      <c r="F43" s="46"/>
      <c r="G43" s="73">
        <f>148787-8738-6075</f>
        <v>133974</v>
      </c>
      <c r="H43" s="59">
        <f t="shared" si="1824"/>
        <v>120576.60000000001</v>
      </c>
      <c r="I43" s="59">
        <f t="shared" si="1795"/>
        <v>0</v>
      </c>
      <c r="J43" s="59">
        <f t="shared" si="1796"/>
        <v>0</v>
      </c>
      <c r="K43" s="59">
        <f t="shared" si="1797"/>
        <v>0</v>
      </c>
      <c r="L43" s="59">
        <f t="shared" si="1798"/>
        <v>120576.60000000001</v>
      </c>
      <c r="M43" s="59">
        <f t="shared" si="1799"/>
        <v>0</v>
      </c>
      <c r="N43" s="59">
        <v>23700</v>
      </c>
      <c r="O43" s="59">
        <v>40191</v>
      </c>
      <c r="P43" s="59">
        <f t="shared" si="1830"/>
        <v>13859.799999999999</v>
      </c>
      <c r="Q43" s="59">
        <v>1678</v>
      </c>
      <c r="R43" s="59"/>
      <c r="S43" s="59">
        <v>12853</v>
      </c>
      <c r="T43" s="59"/>
      <c r="U43" s="59">
        <v>8829</v>
      </c>
      <c r="V43" s="59">
        <f t="shared" si="1831"/>
        <v>2706.5387501178602</v>
      </c>
      <c r="W43" s="59">
        <v>9928.6200000000008</v>
      </c>
      <c r="X43" s="62">
        <f t="shared" si="1832"/>
        <v>0.92462506172321501</v>
      </c>
      <c r="Y43" s="62">
        <f t="shared" si="1833"/>
        <v>14.5789331982146</v>
      </c>
      <c r="Z43" s="62">
        <f t="shared" si="1834"/>
        <v>14.5789331982146</v>
      </c>
      <c r="AA43" s="59">
        <f t="shared" si="1835"/>
        <v>1154.95686445059</v>
      </c>
      <c r="AB43" s="59">
        <v>12006.1</v>
      </c>
      <c r="AC43" s="59">
        <f t="shared" si="1836"/>
        <v>151.47277474281299</v>
      </c>
      <c r="AD43" s="59"/>
      <c r="AE43" s="59"/>
      <c r="AF43" s="59">
        <v>41</v>
      </c>
      <c r="AG43" s="59">
        <f t="shared" si="1837"/>
        <v>41</v>
      </c>
      <c r="AH43" s="59">
        <f t="shared" si="1838"/>
        <v>69.1218230563003</v>
      </c>
      <c r="AI43" s="59">
        <v>0.852272442405555</v>
      </c>
      <c r="AJ43" s="59">
        <f t="shared" si="1839"/>
        <v>0.852272442405555</v>
      </c>
      <c r="AK43" s="59">
        <f t="shared" si="1840"/>
        <v>58.156431899305801</v>
      </c>
      <c r="AL43" s="338"/>
      <c r="AM43" s="59"/>
      <c r="AN43" s="59">
        <v>1000</v>
      </c>
      <c r="AO43" s="62"/>
      <c r="AP43" s="62"/>
      <c r="AQ43" s="59"/>
      <c r="AR43" s="59"/>
      <c r="AS43" s="59"/>
      <c r="AT43" s="189">
        <f>VLOOKUP(B:B,综合进度!B:N,13,0)</f>
        <v>1.7186421982887699e-002</v>
      </c>
      <c r="AU43" s="59">
        <f t="shared" si="1841"/>
        <v>102.671341197332</v>
      </c>
      <c r="AV43" s="59"/>
      <c r="AW43" s="59"/>
      <c r="AX43" s="59">
        <f t="shared" si="1842"/>
        <v>5243</v>
      </c>
      <c r="AY43" s="59">
        <v>4275</v>
      </c>
      <c r="AZ43" s="59">
        <f t="shared" si="1843"/>
        <v>4001.1583111517798</v>
      </c>
      <c r="BA43" s="59">
        <f t="shared" si="1844"/>
        <v>1241.84168884822</v>
      </c>
      <c r="BB43" s="43">
        <f t="shared" si="1793"/>
        <v>0.31037054579596002</v>
      </c>
      <c r="BC43" s="50">
        <v>4330</v>
      </c>
      <c r="BD43" s="50">
        <f t="shared" si="1845"/>
        <v>5571.8416888482197</v>
      </c>
      <c r="BF43" s="84"/>
      <c r="BG43" s="339"/>
    </row>
    <row r="44" ht="17" customHeight="1">
      <c r="A44" s="46">
        <v>21</v>
      </c>
      <c r="B44" s="82" t="s">
        <v>92</v>
      </c>
      <c r="C44" s="46" t="s">
        <v>90</v>
      </c>
      <c r="D44" s="46">
        <v>2018</v>
      </c>
      <c r="E44" s="46" t="s">
        <v>91</v>
      </c>
      <c r="F44" s="46"/>
      <c r="G44" s="73">
        <v>39345</v>
      </c>
      <c r="H44" s="59">
        <f t="shared" si="1824"/>
        <v>31476</v>
      </c>
      <c r="I44" s="59">
        <f t="shared" si="1795"/>
        <v>0</v>
      </c>
      <c r="J44" s="59">
        <f t="shared" si="1796"/>
        <v>0</v>
      </c>
      <c r="K44" s="59">
        <f t="shared" si="1797"/>
        <v>31476</v>
      </c>
      <c r="L44" s="59">
        <f t="shared" si="1798"/>
        <v>0</v>
      </c>
      <c r="M44" s="59">
        <f t="shared" si="1799"/>
        <v>0</v>
      </c>
      <c r="N44" s="59">
        <v>8053</v>
      </c>
      <c r="O44" s="59">
        <v>8207</v>
      </c>
      <c r="P44" s="59">
        <f t="shared" si="1830"/>
        <v>3855.1999999999998</v>
      </c>
      <c r="Q44" s="59">
        <v>0</v>
      </c>
      <c r="R44" s="59">
        <v>4819</v>
      </c>
      <c r="S44" s="59"/>
      <c r="T44" s="59"/>
      <c r="U44" s="59">
        <v>1226</v>
      </c>
      <c r="V44" s="59">
        <f t="shared" si="1831"/>
        <v>750.60305926844899</v>
      </c>
      <c r="W44" s="59">
        <v>9461.5200000000004</v>
      </c>
      <c r="X44" s="62">
        <f t="shared" si="1832"/>
        <v>1</v>
      </c>
      <c r="Y44" s="62">
        <f t="shared" si="1833"/>
        <v>4.7397999999999998</v>
      </c>
      <c r="Z44" s="62">
        <f t="shared" si="1834"/>
        <v>4.7397999999999998</v>
      </c>
      <c r="AA44" s="59">
        <f t="shared" si="1835"/>
        <v>375.49143491468101</v>
      </c>
      <c r="AB44" s="59">
        <v>2023.0699999999999</v>
      </c>
      <c r="AC44" s="59">
        <f t="shared" si="1836"/>
        <v>25.5236943219649</v>
      </c>
      <c r="AD44" s="59"/>
      <c r="AE44" s="59"/>
      <c r="AF44" s="59">
        <v>39</v>
      </c>
      <c r="AG44" s="59">
        <f t="shared" si="1837"/>
        <v>39</v>
      </c>
      <c r="AH44" s="59">
        <f t="shared" si="1838"/>
        <v>65.750026809651501</v>
      </c>
      <c r="AI44" s="59">
        <v>1</v>
      </c>
      <c r="AJ44" s="59">
        <f t="shared" si="1839"/>
        <v>1</v>
      </c>
      <c r="AK44" s="59">
        <f t="shared" si="1840"/>
        <v>68.236902902970996</v>
      </c>
      <c r="AL44" s="338"/>
      <c r="AM44" s="59"/>
      <c r="AN44" s="59">
        <v>3000</v>
      </c>
      <c r="AO44" s="62"/>
      <c r="AP44" s="62"/>
      <c r="AQ44" s="59"/>
      <c r="AR44" s="59"/>
      <c r="AS44" s="59"/>
      <c r="AT44" s="189">
        <f>VLOOKUP(B:B,综合进度!B:N,13,0)</f>
        <v>8.0284540226552206e-003</v>
      </c>
      <c r="AU44" s="59">
        <f t="shared" si="1841"/>
        <v>47.961823762261801</v>
      </c>
      <c r="AV44" s="59"/>
      <c r="AW44" s="59"/>
      <c r="AX44" s="59">
        <f t="shared" si="1842"/>
        <v>4334</v>
      </c>
      <c r="AY44" s="59">
        <v>4067</v>
      </c>
      <c r="AZ44" s="59">
        <f t="shared" si="1843"/>
        <v>3806.4820705156199</v>
      </c>
      <c r="BA44" s="59">
        <f t="shared" si="1844"/>
        <v>527.51792948437503</v>
      </c>
      <c r="BB44" s="43">
        <f t="shared" si="1793"/>
        <v>0.13858410987153799</v>
      </c>
      <c r="BC44" s="50">
        <v>1815</v>
      </c>
      <c r="BD44" s="50">
        <f t="shared" si="1845"/>
        <v>2342.5179294843801</v>
      </c>
      <c r="BG44" s="340"/>
    </row>
    <row r="45" s="5" customFormat="1" ht="17" customHeight="1">
      <c r="A45" s="46">
        <v>22</v>
      </c>
      <c r="B45" s="82" t="s">
        <v>95</v>
      </c>
      <c r="C45" s="46" t="s">
        <v>93</v>
      </c>
      <c r="D45" s="46">
        <v>2020</v>
      </c>
      <c r="E45" s="46" t="s">
        <v>94</v>
      </c>
      <c r="F45" s="46"/>
      <c r="G45" s="73">
        <f>440617-118</f>
        <v>440499</v>
      </c>
      <c r="H45" s="59">
        <f t="shared" si="1824"/>
        <v>440499</v>
      </c>
      <c r="I45" s="59">
        <f t="shared" si="1795"/>
        <v>0</v>
      </c>
      <c r="J45" s="59">
        <f t="shared" si="1796"/>
        <v>0</v>
      </c>
      <c r="K45" s="59">
        <f t="shared" si="1797"/>
        <v>0</v>
      </c>
      <c r="L45" s="59">
        <f t="shared" si="1798"/>
        <v>0</v>
      </c>
      <c r="M45" s="59">
        <f t="shared" si="1799"/>
        <v>440499</v>
      </c>
      <c r="N45" s="59">
        <v>69400</v>
      </c>
      <c r="O45" s="59">
        <v>57501</v>
      </c>
      <c r="P45" s="59">
        <f t="shared" si="1830"/>
        <v>44439.599999999999</v>
      </c>
      <c r="Q45" s="59">
        <v>0</v>
      </c>
      <c r="R45" s="59">
        <v>14177</v>
      </c>
      <c r="S45" s="59">
        <v>33098</v>
      </c>
      <c r="T45" s="59"/>
      <c r="U45" s="59">
        <v>11722</v>
      </c>
      <c r="V45" s="59">
        <f t="shared" si="1831"/>
        <v>7846.8923777863201</v>
      </c>
      <c r="W45" s="59">
        <v>10690.68</v>
      </c>
      <c r="X45" s="62">
        <f t="shared" si="1832"/>
        <v>0.80165305259624797</v>
      </c>
      <c r="Y45" s="62">
        <f t="shared" si="1833"/>
        <v>40.876208986577403</v>
      </c>
      <c r="Z45" s="62">
        <f t="shared" si="1834"/>
        <v>40.876208986577403</v>
      </c>
      <c r="AA45" s="59">
        <f t="shared" si="1835"/>
        <v>3238.2519022411002</v>
      </c>
      <c r="AB45" s="59">
        <v>63245.419000000002</v>
      </c>
      <c r="AC45" s="59">
        <f t="shared" si="1836"/>
        <v>797.92431394889604</v>
      </c>
      <c r="AD45" s="59"/>
      <c r="AE45" s="59"/>
      <c r="AF45" s="59">
        <v>153</v>
      </c>
      <c r="AG45" s="59">
        <f t="shared" si="1837"/>
        <v>153</v>
      </c>
      <c r="AH45" s="59">
        <f t="shared" si="1838"/>
        <v>257.94241286863303</v>
      </c>
      <c r="AI45" s="59">
        <v>0.82168925964546402</v>
      </c>
      <c r="AJ45" s="59">
        <f t="shared" si="1839"/>
        <v>0.82168925964546402</v>
      </c>
      <c r="AK45" s="59">
        <f t="shared" si="1840"/>
        <v>56.0695302268416</v>
      </c>
      <c r="AL45" s="338"/>
      <c r="AM45" s="59"/>
      <c r="AN45" s="59">
        <v>1000</v>
      </c>
      <c r="AO45" s="62"/>
      <c r="AP45" s="62"/>
      <c r="AQ45" s="59"/>
      <c r="AR45" s="59"/>
      <c r="AS45" s="59"/>
      <c r="AT45" s="189">
        <f>VLOOKUP(B:B,综合进度!B:N,13,0)</f>
        <v>5.5076829211688001e-002</v>
      </c>
      <c r="AU45" s="59">
        <f t="shared" si="1841"/>
        <v>329.02787617403999</v>
      </c>
      <c r="AV45" s="59"/>
      <c r="AW45" s="59"/>
      <c r="AX45" s="59">
        <f t="shared" si="1842"/>
        <v>13526</v>
      </c>
      <c r="AY45" s="59">
        <v>27053</v>
      </c>
      <c r="AZ45" s="59">
        <f t="shared" si="1843"/>
        <v>25320.078547740199</v>
      </c>
      <c r="BA45" s="59">
        <f t="shared" si="1844"/>
        <v>-11794.078547740201</v>
      </c>
      <c r="BB45" s="43">
        <f t="shared" si="1793"/>
        <v>-0.46579944550736002</v>
      </c>
      <c r="BC45" s="50">
        <v>1095</v>
      </c>
      <c r="BD45" s="50">
        <f t="shared" si="1845"/>
        <v>-10699.078547740201</v>
      </c>
      <c r="BF45" s="341"/>
      <c r="BG45" s="339"/>
    </row>
    <row r="46" ht="17" customHeight="1">
      <c r="A46" s="46">
        <v>23</v>
      </c>
      <c r="B46" s="82" t="s">
        <v>96</v>
      </c>
      <c r="C46" s="46" t="s">
        <v>93</v>
      </c>
      <c r="D46" s="46">
        <v>2019</v>
      </c>
      <c r="E46" s="46" t="s">
        <v>94</v>
      </c>
      <c r="F46" s="46"/>
      <c r="G46" s="73">
        <f>210338-4255-1915</f>
        <v>204168</v>
      </c>
      <c r="H46" s="59">
        <f t="shared" si="1824"/>
        <v>183751.20000000001</v>
      </c>
      <c r="I46" s="59">
        <f t="shared" si="1795"/>
        <v>0</v>
      </c>
      <c r="J46" s="59">
        <f t="shared" si="1796"/>
        <v>0</v>
      </c>
      <c r="K46" s="59">
        <f t="shared" si="1797"/>
        <v>0</v>
      </c>
      <c r="L46" s="59">
        <f t="shared" si="1798"/>
        <v>183751.20000000001</v>
      </c>
      <c r="M46" s="59">
        <f t="shared" si="1799"/>
        <v>0</v>
      </c>
      <c r="N46" s="59">
        <v>32031</v>
      </c>
      <c r="O46" s="59">
        <v>44470</v>
      </c>
      <c r="P46" s="59">
        <f t="shared" si="1830"/>
        <v>26691.799999999999</v>
      </c>
      <c r="Q46" s="59">
        <v>3443</v>
      </c>
      <c r="R46" s="59"/>
      <c r="S46" s="59">
        <v>24626</v>
      </c>
      <c r="T46" s="59"/>
      <c r="U46" s="59">
        <v>7317</v>
      </c>
      <c r="V46" s="59">
        <f t="shared" si="1831"/>
        <v>3738.0339007635898</v>
      </c>
      <c r="W46" s="59">
        <v>10239.68</v>
      </c>
      <c r="X46" s="62">
        <f t="shared" si="1832"/>
        <v>0.87442996795233796</v>
      </c>
      <c r="Y46" s="62">
        <f t="shared" si="1833"/>
        <v>20.6539484000374</v>
      </c>
      <c r="Z46" s="62">
        <f t="shared" si="1834"/>
        <v>20.6539484000374</v>
      </c>
      <c r="AA46" s="59">
        <f t="shared" si="1835"/>
        <v>1636.2253093767299</v>
      </c>
      <c r="AB46" s="59">
        <v>25700.77</v>
      </c>
      <c r="AC46" s="59">
        <f t="shared" si="1836"/>
        <v>324.249085458796</v>
      </c>
      <c r="AD46" s="59"/>
      <c r="AE46" s="59"/>
      <c r="AF46" s="59">
        <v>14</v>
      </c>
      <c r="AG46" s="59">
        <f t="shared" si="1837"/>
        <v>14</v>
      </c>
      <c r="AH46" s="59">
        <f t="shared" si="1838"/>
        <v>23.6025737265416</v>
      </c>
      <c r="AI46" s="59">
        <v>0.84999728058884305</v>
      </c>
      <c r="AJ46" s="59">
        <f t="shared" si="1839"/>
        <v>0.84999728058884305</v>
      </c>
      <c r="AK46" s="59">
        <f t="shared" si="1840"/>
        <v>58.001181903330199</v>
      </c>
      <c r="AL46" s="338"/>
      <c r="AM46" s="59"/>
      <c r="AN46" s="59">
        <v>1000</v>
      </c>
      <c r="AO46" s="62"/>
      <c r="AP46" s="62"/>
      <c r="AQ46" s="59"/>
      <c r="AR46" s="59"/>
      <c r="AS46" s="59"/>
      <c r="AT46" s="189">
        <f>VLOOKUP(B:B,综合进度!B:N,13,0)</f>
        <v>1.9972754170631199e-002</v>
      </c>
      <c r="AU46" s="59">
        <f t="shared" si="1841"/>
        <v>119.316833960267</v>
      </c>
      <c r="AV46" s="59"/>
      <c r="AW46" s="59"/>
      <c r="AX46" s="59">
        <f t="shared" si="1842"/>
        <v>6899</v>
      </c>
      <c r="AY46" s="59">
        <v>5515</v>
      </c>
      <c r="AZ46" s="59">
        <f t="shared" si="1843"/>
        <v>5161.7282072519502</v>
      </c>
      <c r="BA46" s="59">
        <f t="shared" si="1844"/>
        <v>1737.2717927480501</v>
      </c>
      <c r="BB46" s="43">
        <f t="shared" si="1793"/>
        <v>0.33656785537589501</v>
      </c>
      <c r="BC46" s="50">
        <v>1869</v>
      </c>
      <c r="BD46" s="50">
        <f t="shared" si="1845"/>
        <v>3606.2717927480498</v>
      </c>
      <c r="BF46" s="341"/>
      <c r="BG46" s="339"/>
    </row>
    <row r="47" ht="17" customHeight="1">
      <c r="A47" s="46">
        <v>24</v>
      </c>
      <c r="B47" s="82" t="s">
        <v>97</v>
      </c>
      <c r="C47" s="46" t="s">
        <v>90</v>
      </c>
      <c r="D47" s="46">
        <v>2018</v>
      </c>
      <c r="E47" s="46" t="s">
        <v>91</v>
      </c>
      <c r="F47" s="46"/>
      <c r="G47" s="73">
        <v>56739</v>
      </c>
      <c r="H47" s="59">
        <f t="shared" si="1824"/>
        <v>45391.199999999997</v>
      </c>
      <c r="I47" s="59">
        <f t="shared" si="1795"/>
        <v>0</v>
      </c>
      <c r="J47" s="59">
        <f t="shared" si="1796"/>
        <v>0</v>
      </c>
      <c r="K47" s="59">
        <f t="shared" si="1797"/>
        <v>45391.199999999997</v>
      </c>
      <c r="L47" s="59">
        <f t="shared" si="1798"/>
        <v>0</v>
      </c>
      <c r="M47" s="59">
        <f t="shared" si="1799"/>
        <v>0</v>
      </c>
      <c r="N47" s="59">
        <v>9593</v>
      </c>
      <c r="O47" s="59">
        <v>16255</v>
      </c>
      <c r="P47" s="59">
        <f t="shared" si="1830"/>
        <v>4534.1999999999998</v>
      </c>
      <c r="Q47" s="59">
        <v>2397</v>
      </c>
      <c r="R47" s="59">
        <v>3870</v>
      </c>
      <c r="S47" s="59"/>
      <c r="T47" s="59"/>
      <c r="U47" s="59">
        <v>1345</v>
      </c>
      <c r="V47" s="59">
        <f t="shared" si="1831"/>
        <v>936.46647648985902</v>
      </c>
      <c r="W47" s="59">
        <v>11353.58</v>
      </c>
      <c r="X47" s="62">
        <f t="shared" si="1832"/>
        <v>0.69468228277462396</v>
      </c>
      <c r="Y47" s="62">
        <f t="shared" si="1833"/>
        <v>4.60796651810064</v>
      </c>
      <c r="Z47" s="62">
        <f t="shared" si="1834"/>
        <v>4.60796651810064</v>
      </c>
      <c r="AA47" s="59">
        <f t="shared" si="1835"/>
        <v>365.04746190143402</v>
      </c>
      <c r="AB47" s="59">
        <v>2429.509732</v>
      </c>
      <c r="AC47" s="59">
        <f t="shared" si="1836"/>
        <v>30.651467201731499</v>
      </c>
      <c r="AD47" s="59"/>
      <c r="AE47" s="59"/>
      <c r="AF47" s="59">
        <v>89</v>
      </c>
      <c r="AG47" s="59">
        <f t="shared" si="1837"/>
        <v>89</v>
      </c>
      <c r="AH47" s="59">
        <f t="shared" si="1838"/>
        <v>150.04493297587101</v>
      </c>
      <c r="AI47" s="59">
        <v>0.79054673721340396</v>
      </c>
      <c r="AJ47" s="59">
        <f t="shared" si="1839"/>
        <v>0.79054673721340396</v>
      </c>
      <c r="AK47" s="59">
        <f t="shared" si="1840"/>
        <v>53.9444609474915</v>
      </c>
      <c r="AL47" s="338"/>
      <c r="AM47" s="59"/>
      <c r="AN47" s="59">
        <v>3000</v>
      </c>
      <c r="AO47" s="62"/>
      <c r="AP47" s="62"/>
      <c r="AQ47" s="59"/>
      <c r="AR47" s="59"/>
      <c r="AS47" s="59"/>
      <c r="AT47" s="189">
        <f>VLOOKUP(B:B,综合进度!B:N,13,0)</f>
        <v>6.2381816997020296e-003</v>
      </c>
      <c r="AU47" s="59">
        <f t="shared" si="1841"/>
        <v>37.266772710385901</v>
      </c>
      <c r="AV47" s="59"/>
      <c r="AW47" s="59"/>
      <c r="AX47" s="59">
        <f t="shared" si="1842"/>
        <v>4573</v>
      </c>
      <c r="AY47" s="59">
        <v>1788</v>
      </c>
      <c r="AZ47" s="59">
        <f t="shared" si="1843"/>
        <v>1673.4669146992701</v>
      </c>
      <c r="BA47" s="59">
        <f t="shared" si="1844"/>
        <v>2899.5330853007299</v>
      </c>
      <c r="BB47" s="43">
        <f t="shared" si="1793"/>
        <v>1.7326503797786701</v>
      </c>
      <c r="BC47" s="50">
        <v>-1048</v>
      </c>
      <c r="BD47" s="50">
        <f t="shared" si="1845"/>
        <v>1851.5330853007299</v>
      </c>
      <c r="BG47" s="340"/>
    </row>
    <row r="48" ht="17" customHeight="1">
      <c r="A48" s="46">
        <v>25</v>
      </c>
      <c r="B48" s="82" t="s">
        <v>98</v>
      </c>
      <c r="C48" s="46" t="s">
        <v>78</v>
      </c>
      <c r="D48" s="46"/>
      <c r="E48" s="46"/>
      <c r="F48" s="46"/>
      <c r="G48" s="73">
        <v>11311</v>
      </c>
      <c r="H48" s="59">
        <f t="shared" si="1824"/>
        <v>6786.6000000000004</v>
      </c>
      <c r="I48" s="59">
        <f t="shared" si="1795"/>
        <v>6786.6000000000004</v>
      </c>
      <c r="J48" s="59">
        <f t="shared" si="1796"/>
        <v>0</v>
      </c>
      <c r="K48" s="59">
        <f t="shared" si="1797"/>
        <v>0</v>
      </c>
      <c r="L48" s="59">
        <f t="shared" si="1798"/>
        <v>0</v>
      </c>
      <c r="M48" s="59">
        <f t="shared" si="1799"/>
        <v>0</v>
      </c>
      <c r="N48" s="59">
        <v>392</v>
      </c>
      <c r="O48" s="59">
        <v>1691</v>
      </c>
      <c r="P48" s="59">
        <f t="shared" si="1830"/>
        <v>0</v>
      </c>
      <c r="Q48" s="59"/>
      <c r="R48" s="59"/>
      <c r="S48" s="59"/>
      <c r="T48" s="59"/>
      <c r="U48" s="59">
        <v>0</v>
      </c>
      <c r="V48" s="59">
        <f t="shared" si="1831"/>
        <v>62.1386458108447</v>
      </c>
      <c r="W48" s="59">
        <v>10404.059999999999</v>
      </c>
      <c r="X48" s="62">
        <f t="shared" si="1832"/>
        <v>0.84790431529993504</v>
      </c>
      <c r="Y48" s="62">
        <f t="shared" si="1833"/>
        <v>0.99230242019551396</v>
      </c>
      <c r="Z48" s="62">
        <f t="shared" ref="Z48:Z54" si="1846">Y48*0.2</f>
        <v>0.19846048403910299</v>
      </c>
      <c r="AA48" s="59">
        <f t="shared" si="1835"/>
        <v>15.722227082515101</v>
      </c>
      <c r="AB48" s="59">
        <v>776.38</v>
      </c>
      <c r="AC48" s="59">
        <f t="shared" si="1836"/>
        <v>9.79505691730248</v>
      </c>
      <c r="AD48" s="59"/>
      <c r="AE48" s="59"/>
      <c r="AF48" s="59">
        <v>17</v>
      </c>
      <c r="AG48" s="59">
        <f t="shared" ref="AG48:AG54" si="1847">AF48*0.5</f>
        <v>8.5</v>
      </c>
      <c r="AH48" s="59">
        <f t="shared" si="1838"/>
        <v>14.330134048257399</v>
      </c>
      <c r="AI48" s="59">
        <v>1</v>
      </c>
      <c r="AJ48" s="59">
        <f>AI48*0.5</f>
        <v>0.5</v>
      </c>
      <c r="AK48" s="59">
        <f t="shared" si="1840"/>
        <v>34.118451451485498</v>
      </c>
      <c r="AL48" s="338"/>
      <c r="AM48" s="59"/>
      <c r="AN48" s="59"/>
      <c r="AO48" s="62"/>
      <c r="AP48" s="62"/>
      <c r="AQ48" s="59"/>
      <c r="AR48" s="59"/>
      <c r="AS48" s="59"/>
      <c r="AT48" s="189">
        <f>VLOOKUP(B:B,综合进度!B:N,13,0)</f>
        <v>3.0465053679476599e-003</v>
      </c>
      <c r="AU48" s="59">
        <f t="shared" si="1841"/>
        <v>18.199762138012002</v>
      </c>
      <c r="AV48" s="59"/>
      <c r="AW48" s="59"/>
      <c r="AX48" s="59">
        <f t="shared" si="1842"/>
        <v>154</v>
      </c>
      <c r="AY48" s="59">
        <v>162</v>
      </c>
      <c r="AZ48" s="59">
        <f t="shared" si="1843"/>
        <v>151.62284126469899</v>
      </c>
      <c r="BA48" s="59">
        <f t="shared" si="1844"/>
        <v>2.3771587353008998</v>
      </c>
      <c r="BB48" s="43">
        <f t="shared" si="1793"/>
        <v>1.56781044034844e-002</v>
      </c>
      <c r="BC48" s="50">
        <v>533</v>
      </c>
      <c r="BD48" s="50">
        <f t="shared" si="1845"/>
        <v>535.37715873530101</v>
      </c>
      <c r="BG48" s="340"/>
    </row>
    <row r="49" s="5" customFormat="1" ht="17" customHeight="1">
      <c r="A49" s="65"/>
      <c r="B49" s="66" t="s">
        <v>99</v>
      </c>
      <c r="C49" s="67">
        <v>1</v>
      </c>
      <c r="D49" s="67"/>
      <c r="E49" s="67"/>
      <c r="F49" s="68"/>
      <c r="G49" s="69">
        <f>G50+G51</f>
        <v>740646</v>
      </c>
      <c r="H49" s="69">
        <f>H50+H51</f>
        <v>651099.40000000002</v>
      </c>
      <c r="I49" s="69">
        <f>I50+I51</f>
        <v>47099.400000000001</v>
      </c>
      <c r="J49" s="69">
        <f t="shared" ref="G49:U49" si="1848">J50+J51</f>
        <v>25648</v>
      </c>
      <c r="K49" s="69">
        <f t="shared" si="1848"/>
        <v>128608</v>
      </c>
      <c r="L49" s="69">
        <f t="shared" si="1848"/>
        <v>135027</v>
      </c>
      <c r="M49" s="69">
        <f t="shared" si="1848"/>
        <v>314717</v>
      </c>
      <c r="N49" s="69">
        <f t="shared" si="1848"/>
        <v>94118</v>
      </c>
      <c r="O49" s="69">
        <f t="shared" si="1848"/>
        <v>156823</v>
      </c>
      <c r="P49" s="69">
        <f t="shared" si="1848"/>
        <v>85243.399999999994</v>
      </c>
      <c r="Q49" s="59">
        <v>16634</v>
      </c>
      <c r="R49" s="69">
        <f>R50+R51</f>
        <v>0</v>
      </c>
      <c r="S49" s="69">
        <f>S50+S51</f>
        <v>75263</v>
      </c>
      <c r="T49" s="69">
        <f>T50+T51</f>
        <v>0</v>
      </c>
      <c r="U49" s="69">
        <f>U50+U51</f>
        <v>13880</v>
      </c>
      <c r="V49" s="69">
        <f>V50+V51</f>
        <v>11451.9396890649</v>
      </c>
      <c r="W49" s="69"/>
      <c r="X49" s="69">
        <f t="shared" ref="X49:AE49" si="1849">X50+X51</f>
        <v>6.0643067151630996</v>
      </c>
      <c r="Y49" s="69">
        <f t="shared" si="1849"/>
        <v>63.754647544142202</v>
      </c>
      <c r="Z49" s="69">
        <f t="shared" si="1849"/>
        <v>55.004728434554004</v>
      </c>
      <c r="AA49" s="69">
        <f t="shared" si="1849"/>
        <v>4357.5265637754901</v>
      </c>
      <c r="AB49" s="69">
        <f t="shared" si="1849"/>
        <v>48597.519</v>
      </c>
      <c r="AC49" s="69">
        <f t="shared" si="1849"/>
        <v>613.12175048904999</v>
      </c>
      <c r="AD49" s="69"/>
      <c r="AE49" s="69"/>
      <c r="AF49" s="69">
        <f t="shared" ref="AF49:AP49" si="1850">AF50+AF51</f>
        <v>411</v>
      </c>
      <c r="AG49" s="69">
        <f t="shared" si="1850"/>
        <v>331</v>
      </c>
      <c r="AH49" s="69">
        <f t="shared" si="1850"/>
        <v>558.03227882037504</v>
      </c>
      <c r="AI49" s="69">
        <f t="shared" si="1850"/>
        <v>9</v>
      </c>
      <c r="AJ49" s="69">
        <f t="shared" si="1850"/>
        <v>7</v>
      </c>
      <c r="AK49" s="69">
        <f t="shared" si="1850"/>
        <v>477.65832032079697</v>
      </c>
      <c r="AL49" s="69"/>
      <c r="AM49" s="69"/>
      <c r="AN49" s="69">
        <f t="shared" si="1850"/>
        <v>5000</v>
      </c>
      <c r="AO49" s="71"/>
      <c r="AP49" s="69"/>
      <c r="AQ49" s="69">
        <f t="shared" ref="AP49:AU49" si="1851">AQ50+AQ51</f>
        <v>0</v>
      </c>
      <c r="AR49" s="69"/>
      <c r="AS49" s="69">
        <f t="shared" si="1851"/>
        <v>0</v>
      </c>
      <c r="AT49" s="403">
        <f t="shared" si="1851"/>
        <v>8.9825785092111199e-002</v>
      </c>
      <c r="AU49" s="69">
        <f t="shared" si="1851"/>
        <v>536.61744362457</v>
      </c>
      <c r="AV49" s="69"/>
      <c r="AW49" s="71"/>
      <c r="AX49" s="69">
        <f>AX50+AX51</f>
        <v>22995</v>
      </c>
      <c r="AY49" s="69">
        <v>24641</v>
      </c>
      <c r="AZ49" s="69">
        <f t="shared" ref="AZ49:BD49" si="1852">AZ50+AZ51</f>
        <v>23062.582911132398</v>
      </c>
      <c r="BA49" s="69">
        <f t="shared" si="1852"/>
        <v>-67.582911132410999</v>
      </c>
      <c r="BB49" s="336">
        <f t="shared" si="1793"/>
        <v>-2.9304137959234602e-003</v>
      </c>
      <c r="BC49" s="404">
        <v>8567</v>
      </c>
      <c r="BD49" s="69">
        <f t="shared" si="1852"/>
        <v>7984.4170888675899</v>
      </c>
      <c r="BG49" s="340"/>
    </row>
    <row r="50" s="5" customFormat="1" ht="17" customHeight="1">
      <c r="A50" s="44"/>
      <c r="B50" s="72" t="s">
        <v>100</v>
      </c>
      <c r="C50" s="46">
        <v>2</v>
      </c>
      <c r="D50" s="46"/>
      <c r="E50" s="46"/>
      <c r="F50" s="46"/>
      <c r="G50" s="73"/>
      <c r="H50" s="59">
        <f t="shared" ref="H50:H60" si="1853">SUM(I50:M50)</f>
        <v>0</v>
      </c>
      <c r="I50" s="59">
        <f t="shared" si="1795"/>
        <v>0</v>
      </c>
      <c r="J50" s="59">
        <f t="shared" si="1796"/>
        <v>0</v>
      </c>
      <c r="K50" s="59">
        <f t="shared" si="1797"/>
        <v>0</v>
      </c>
      <c r="L50" s="59">
        <f t="shared" si="1798"/>
        <v>0</v>
      </c>
      <c r="M50" s="59">
        <f t="shared" si="1799"/>
        <v>0</v>
      </c>
      <c r="N50" s="59"/>
      <c r="O50" s="59"/>
      <c r="P50" s="59">
        <f>L50*0.4+M50*0.6+N50*0.8+O50*1</f>
        <v>0</v>
      </c>
      <c r="Q50" s="59"/>
      <c r="R50" s="59"/>
      <c r="S50" s="59"/>
      <c r="T50" s="59"/>
      <c r="U50" s="59"/>
      <c r="V50" s="59">
        <f>H50/$H$9*134866+N50/$N$9*202299+P50/$P$9*100000+U50/$U$9*34867</f>
        <v>0</v>
      </c>
      <c r="W50" s="59"/>
      <c r="X50" s="62"/>
      <c r="Y50" s="62"/>
      <c r="Z50" s="62"/>
      <c r="AA50" s="59"/>
      <c r="AB50" s="59"/>
      <c r="AC50" s="59"/>
      <c r="AD50" s="59"/>
      <c r="AE50" s="59"/>
      <c r="AF50" s="59"/>
      <c r="AG50" s="59">
        <f>AF50</f>
        <v>0</v>
      </c>
      <c r="AH50" s="59">
        <f>AG50/$AG$9*40459.89</f>
        <v>0</v>
      </c>
      <c r="AI50" s="59"/>
      <c r="AJ50" s="59">
        <f>AI50</f>
        <v>0</v>
      </c>
      <c r="AK50" s="59">
        <f>AJ50/$AJ$9*40459.89</f>
        <v>0</v>
      </c>
      <c r="AL50" s="59"/>
      <c r="AM50" s="59"/>
      <c r="AN50" s="59"/>
      <c r="AO50" s="62"/>
      <c r="AP50" s="62"/>
      <c r="AQ50" s="59"/>
      <c r="AR50" s="59"/>
      <c r="AS50" s="59"/>
      <c r="AT50" s="189"/>
      <c r="AU50" s="59"/>
      <c r="AV50" s="59"/>
      <c r="AW50" s="59"/>
      <c r="AX50" s="59">
        <f>V50+AA50+AC50+AE50+AH50+AK50+AM50+AN50+AQ50+AS50+AU50+AW50</f>
        <v>0</v>
      </c>
      <c r="AY50" s="73"/>
      <c r="AZ50" s="170"/>
      <c r="BA50" s="50"/>
      <c r="BB50" s="43"/>
      <c r="BC50" s="50">
        <v>515</v>
      </c>
      <c r="BD50" s="50"/>
      <c r="BG50" s="340"/>
    </row>
    <row r="51" s="5" customFormat="1" ht="17" customHeight="1">
      <c r="A51" s="75"/>
      <c r="B51" s="76" t="s">
        <v>76</v>
      </c>
      <c r="C51" s="77">
        <v>3</v>
      </c>
      <c r="D51" s="77"/>
      <c r="E51" s="77"/>
      <c r="F51" s="78"/>
      <c r="G51" s="79">
        <f>SUM(G52:G60)</f>
        <v>740646</v>
      </c>
      <c r="H51" s="79">
        <f>SUM(H52:H60)</f>
        <v>651099.40000000002</v>
      </c>
      <c r="I51" s="79">
        <f t="shared" ref="I51:U51" si="1854">SUM(I52:I60)</f>
        <v>47099.400000000001</v>
      </c>
      <c r="J51" s="79">
        <f t="shared" si="1854"/>
        <v>25648</v>
      </c>
      <c r="K51" s="79">
        <f t="shared" si="1854"/>
        <v>128608</v>
      </c>
      <c r="L51" s="79">
        <f t="shared" si="1854"/>
        <v>135027</v>
      </c>
      <c r="M51" s="79">
        <f t="shared" si="1854"/>
        <v>314717</v>
      </c>
      <c r="N51" s="79">
        <f t="shared" si="1854"/>
        <v>94118</v>
      </c>
      <c r="O51" s="79">
        <f t="shared" si="1854"/>
        <v>156823</v>
      </c>
      <c r="P51" s="79">
        <f t="shared" si="1854"/>
        <v>85243.399999999994</v>
      </c>
      <c r="Q51" s="59">
        <v>16634</v>
      </c>
      <c r="R51" s="79">
        <f>SUM(R52:R60)</f>
        <v>0</v>
      </c>
      <c r="S51" s="79">
        <f>SUM(S52:S60)</f>
        <v>75263</v>
      </c>
      <c r="T51" s="79">
        <f>SUM(T52:T60)</f>
        <v>0</v>
      </c>
      <c r="U51" s="79">
        <f>SUM(U52:U60)</f>
        <v>13880</v>
      </c>
      <c r="V51" s="79">
        <f>SUM(V52:V60)</f>
        <v>11451.9396890649</v>
      </c>
      <c r="W51" s="79"/>
      <c r="X51" s="79">
        <f t="shared" ref="X51:AE51" si="1855">SUM(X52:X60)</f>
        <v>6.0643067151630996</v>
      </c>
      <c r="Y51" s="79">
        <f t="shared" si="1855"/>
        <v>63.754647544142202</v>
      </c>
      <c r="Z51" s="79">
        <f t="shared" si="1855"/>
        <v>55.004728434554004</v>
      </c>
      <c r="AA51" s="79">
        <f t="shared" si="1855"/>
        <v>4357.5265637754901</v>
      </c>
      <c r="AB51" s="79">
        <f t="shared" si="1855"/>
        <v>48597.519</v>
      </c>
      <c r="AC51" s="79">
        <f t="shared" si="1855"/>
        <v>613.12175048904999</v>
      </c>
      <c r="AD51" s="79"/>
      <c r="AE51" s="79"/>
      <c r="AF51" s="79">
        <f t="shared" ref="AF51:AP51" si="1856">SUM(AF52:AF60)</f>
        <v>411</v>
      </c>
      <c r="AG51" s="79">
        <f t="shared" si="1856"/>
        <v>331</v>
      </c>
      <c r="AH51" s="79">
        <f t="shared" si="1856"/>
        <v>558.03227882037504</v>
      </c>
      <c r="AI51" s="79">
        <f t="shared" si="1856"/>
        <v>9</v>
      </c>
      <c r="AJ51" s="79">
        <f t="shared" si="1856"/>
        <v>7</v>
      </c>
      <c r="AK51" s="79">
        <f t="shared" si="1856"/>
        <v>477.65832032079697</v>
      </c>
      <c r="AL51" s="79"/>
      <c r="AM51" s="79"/>
      <c r="AN51" s="79">
        <f t="shared" si="1856"/>
        <v>5000</v>
      </c>
      <c r="AO51" s="81"/>
      <c r="AP51" s="79"/>
      <c r="AQ51" s="79">
        <f t="shared" ref="AP51:AU51" si="1857">SUM(AQ52:AQ60)</f>
        <v>0</v>
      </c>
      <c r="AR51" s="79"/>
      <c r="AS51" s="79">
        <f t="shared" si="1857"/>
        <v>0</v>
      </c>
      <c r="AT51" s="405">
        <f t="shared" si="1857"/>
        <v>8.9825785092111199e-002</v>
      </c>
      <c r="AU51" s="79">
        <f t="shared" si="1857"/>
        <v>536.61744362457</v>
      </c>
      <c r="AV51" s="79"/>
      <c r="AW51" s="81"/>
      <c r="AX51" s="79">
        <f>SUM(AX52:AX60)</f>
        <v>22995</v>
      </c>
      <c r="AY51" s="79">
        <v>24641</v>
      </c>
      <c r="AZ51" s="79">
        <f t="shared" ref="AZ51:BD51" si="1858">SUM(AZ52:AZ60)</f>
        <v>23062.582911132398</v>
      </c>
      <c r="BA51" s="79">
        <f t="shared" si="1858"/>
        <v>-67.582911132410999</v>
      </c>
      <c r="BB51" s="337">
        <f t="shared" si="1793"/>
        <v>-2.9304137959234602e-003</v>
      </c>
      <c r="BC51" s="406">
        <v>8052</v>
      </c>
      <c r="BD51" s="79">
        <f t="shared" si="1858"/>
        <v>7984.4170888675899</v>
      </c>
      <c r="BG51" s="340"/>
    </row>
    <row r="52" ht="17" customHeight="1">
      <c r="A52" s="46">
        <v>26</v>
      </c>
      <c r="B52" s="82" t="s">
        <v>101</v>
      </c>
      <c r="C52" s="46" t="s">
        <v>78</v>
      </c>
      <c r="D52" s="46"/>
      <c r="E52" s="46"/>
      <c r="F52" s="46"/>
      <c r="G52" s="73">
        <v>11313</v>
      </c>
      <c r="H52" s="59">
        <f>SUM(I52:M52)</f>
        <v>6787.8000000000002</v>
      </c>
      <c r="I52" s="59">
        <f t="shared" si="1795"/>
        <v>6787.8000000000002</v>
      </c>
      <c r="J52" s="59">
        <f t="shared" si="1796"/>
        <v>0</v>
      </c>
      <c r="K52" s="59">
        <f t="shared" si="1797"/>
        <v>0</v>
      </c>
      <c r="L52" s="59">
        <f t="shared" si="1798"/>
        <v>0</v>
      </c>
      <c r="M52" s="59">
        <f t="shared" si="1799"/>
        <v>0</v>
      </c>
      <c r="N52" s="59">
        <v>1073</v>
      </c>
      <c r="O52" s="59">
        <v>618</v>
      </c>
      <c r="P52" s="59">
        <f t="shared" ref="P52:P60" si="1859">Q52*0.6+R52*0.8+S52*1+T52*1.25</f>
        <v>0</v>
      </c>
      <c r="Q52" s="59"/>
      <c r="R52" s="59"/>
      <c r="S52" s="59"/>
      <c r="T52" s="59"/>
      <c r="U52" s="59">
        <v>253</v>
      </c>
      <c r="V52" s="59">
        <f t="shared" ref="V52:V60" si="1860">H52/$H$9*298699*0.12+N52/$N$9*298699*0.15+P52/$P$9*298699*0.035+U52/$U$9*298699*0.025</f>
        <v>108.977991957868</v>
      </c>
      <c r="W52" s="59">
        <v>12050.25</v>
      </c>
      <c r="X52" s="62">
        <f t="shared" ref="X52:X60" si="1861">($W$64-W52)/($W$64-$W$44)</f>
        <v>0.58226211953487295</v>
      </c>
      <c r="Y52" s="62">
        <f t="shared" ref="Y52:Y60" si="1862">(G52+N52)*X52/10000</f>
        <v>0.72118986125589402</v>
      </c>
      <c r="Z52" s="62">
        <f t="shared" si="1846"/>
        <v>0.14423797225117899</v>
      </c>
      <c r="AA52" s="59">
        <f t="shared" ref="AA52:AA60" si="1863">Z52/$Z$9*298699*0.12</f>
        <v>11.4266684606479</v>
      </c>
      <c r="AB52" s="59">
        <v>334.39999999999998</v>
      </c>
      <c r="AC52" s="59">
        <f t="shared" ref="AC52:AC60" si="1864">(AB52/$AB$9*298699*0.03)</f>
        <v>4.21889671700192</v>
      </c>
      <c r="AD52" s="59"/>
      <c r="AE52" s="59"/>
      <c r="AF52" s="59">
        <v>69</v>
      </c>
      <c r="AG52" s="59">
        <f t="shared" si="1847"/>
        <v>34.5</v>
      </c>
      <c r="AH52" s="59">
        <f t="shared" ref="AH52:AH60" si="1865">AG52/$AG$9*298699*0.02</f>
        <v>58.1634852546917</v>
      </c>
      <c r="AI52" s="59">
        <v>1</v>
      </c>
      <c r="AJ52" s="59">
        <f t="shared" ref="AJ52:AJ54" si="1866">AI52*0.5</f>
        <v>0.5</v>
      </c>
      <c r="AK52" s="59">
        <f t="shared" ref="AK52:AK60" si="1867">AJ52/$AJ$9*298699*0.02</f>
        <v>34.118451451485498</v>
      </c>
      <c r="AL52" s="338"/>
      <c r="AM52" s="59"/>
      <c r="AN52" s="59"/>
      <c r="AO52" s="62"/>
      <c r="AP52" s="62"/>
      <c r="AQ52" s="59"/>
      <c r="AR52" s="59"/>
      <c r="AS52" s="59"/>
      <c r="AT52" s="189">
        <f>VLOOKUP(B:B,综合进度!B:N,13,0)</f>
        <v>3.1233780740787202e-003</v>
      </c>
      <c r="AU52" s="59">
        <f t="shared" ref="AU52:AU60" si="1868">AT52/$AT$9*298699*0.02</f>
        <v>18.6589981469848</v>
      </c>
      <c r="AV52" s="59"/>
      <c r="AW52" s="59"/>
      <c r="AX52" s="59">
        <f t="shared" ref="AX52:AX60" si="1869">ROUND(V52+AA52+AC52+AN52+AQ52+AS52+AU52+AW52+AH52+AK52,0)</f>
        <v>236</v>
      </c>
      <c r="AY52" s="59">
        <v>255</v>
      </c>
      <c r="AZ52" s="59">
        <f t="shared" ref="AZ52:AZ60" si="1870">AY52/$AY$9*280243</f>
        <v>238.66558347221201</v>
      </c>
      <c r="BA52" s="59">
        <f t="shared" ref="BA52:BA60" si="1871">AX52-AZ52</f>
        <v>-2.6655834722115501</v>
      </c>
      <c r="BB52" s="43">
        <f t="shared" si="1793"/>
        <v>-1.11686965226887e-002</v>
      </c>
      <c r="BC52" s="50">
        <v>131</v>
      </c>
      <c r="BD52" s="50">
        <f t="shared" ref="BD52:BD60" si="1872">BC52+BA52</f>
        <v>128.33441652778799</v>
      </c>
      <c r="BG52" s="340"/>
    </row>
    <row r="53" ht="17" customHeight="1">
      <c r="A53" s="46">
        <v>27</v>
      </c>
      <c r="B53" s="82" t="s">
        <v>108</v>
      </c>
      <c r="C53" s="46" t="s">
        <v>78</v>
      </c>
      <c r="D53" s="46"/>
      <c r="E53" s="46"/>
      <c r="F53" s="46"/>
      <c r="G53" s="73">
        <v>17582</v>
      </c>
      <c r="H53" s="59">
        <f t="shared" si="1853"/>
        <v>10549.200000000001</v>
      </c>
      <c r="I53" s="59">
        <f t="shared" si="1795"/>
        <v>10549.200000000001</v>
      </c>
      <c r="J53" s="59">
        <f t="shared" si="1796"/>
        <v>0</v>
      </c>
      <c r="K53" s="59">
        <f t="shared" si="1797"/>
        <v>0</v>
      </c>
      <c r="L53" s="59">
        <f t="shared" si="1798"/>
        <v>0</v>
      </c>
      <c r="M53" s="59">
        <f t="shared" si="1799"/>
        <v>0</v>
      </c>
      <c r="N53" s="59">
        <v>2680</v>
      </c>
      <c r="O53" s="59">
        <v>747</v>
      </c>
      <c r="P53" s="59">
        <f t="shared" si="1859"/>
        <v>0</v>
      </c>
      <c r="Q53" s="59"/>
      <c r="R53" s="59"/>
      <c r="S53" s="59"/>
      <c r="T53" s="59"/>
      <c r="U53" s="59">
        <v>351</v>
      </c>
      <c r="V53" s="59">
        <f t="shared" si="1860"/>
        <v>217.807744893185</v>
      </c>
      <c r="W53" s="59">
        <v>11222.870000000001</v>
      </c>
      <c r="X53" s="62">
        <f t="shared" si="1861"/>
        <v>0.715774678797228</v>
      </c>
      <c r="Y53" s="62">
        <f t="shared" si="1862"/>
        <v>1.4503026541789401</v>
      </c>
      <c r="Z53" s="62">
        <f t="shared" si="1846"/>
        <v>0.29006053083578898</v>
      </c>
      <c r="AA53" s="59">
        <f t="shared" si="1863"/>
        <v>22.978869347998799</v>
      </c>
      <c r="AB53" s="59">
        <v>1544.5999999999999</v>
      </c>
      <c r="AC53" s="59">
        <f t="shared" si="1864"/>
        <v>19.487164680266599</v>
      </c>
      <c r="AD53" s="59"/>
      <c r="AE53" s="59"/>
      <c r="AF53" s="59">
        <v>30</v>
      </c>
      <c r="AG53" s="59">
        <f t="shared" si="1847"/>
        <v>15</v>
      </c>
      <c r="AH53" s="59">
        <f t="shared" si="1865"/>
        <v>25.2884718498659</v>
      </c>
      <c r="AI53" s="59">
        <v>1</v>
      </c>
      <c r="AJ53" s="59">
        <f t="shared" si="1866"/>
        <v>0.5</v>
      </c>
      <c r="AK53" s="59">
        <f t="shared" si="1867"/>
        <v>34.118451451485498</v>
      </c>
      <c r="AL53" s="338"/>
      <c r="AM53" s="59"/>
      <c r="AN53" s="59"/>
      <c r="AO53" s="62"/>
      <c r="AP53" s="62"/>
      <c r="AQ53" s="59"/>
      <c r="AR53" s="59"/>
      <c r="AS53" s="59"/>
      <c r="AT53" s="189">
        <f>VLOOKUP(B:B,综合进度!B:N,13,0)</f>
        <v>3.1956126208676199e-003</v>
      </c>
      <c r="AU53" s="59">
        <f t="shared" si="1868"/>
        <v>19.090525884810699</v>
      </c>
      <c r="AV53" s="59"/>
      <c r="AW53" s="59"/>
      <c r="AX53" s="59">
        <f t="shared" si="1869"/>
        <v>339</v>
      </c>
      <c r="AY53" s="59">
        <v>246</v>
      </c>
      <c r="AZ53" s="59">
        <f t="shared" si="1870"/>
        <v>230.242092290839</v>
      </c>
      <c r="BA53" s="59">
        <f t="shared" si="1871"/>
        <v>108.757907709161</v>
      </c>
      <c r="BB53" s="43">
        <f t="shared" si="1793"/>
        <v>0.47236327044743298</v>
      </c>
      <c r="BC53" s="50">
        <v>745</v>
      </c>
      <c r="BD53" s="50">
        <f t="shared" si="1872"/>
        <v>853.75790770916103</v>
      </c>
      <c r="BG53" s="340"/>
    </row>
    <row r="54" ht="17" customHeight="1">
      <c r="A54" s="46">
        <v>28</v>
      </c>
      <c r="B54" s="82" t="s">
        <v>102</v>
      </c>
      <c r="C54" s="46" t="s">
        <v>78</v>
      </c>
      <c r="D54" s="46"/>
      <c r="E54" s="46"/>
      <c r="F54" s="46"/>
      <c r="G54" s="73">
        <v>15759</v>
      </c>
      <c r="H54" s="59">
        <f t="shared" si="1853"/>
        <v>9455.3999999999996</v>
      </c>
      <c r="I54" s="59">
        <f t="shared" si="1795"/>
        <v>9455.3999999999996</v>
      </c>
      <c r="J54" s="59">
        <f t="shared" si="1796"/>
        <v>0</v>
      </c>
      <c r="K54" s="59">
        <f t="shared" si="1797"/>
        <v>0</v>
      </c>
      <c r="L54" s="59">
        <f t="shared" si="1798"/>
        <v>0</v>
      </c>
      <c r="M54" s="59">
        <f t="shared" si="1799"/>
        <v>0</v>
      </c>
      <c r="N54" s="59">
        <v>1010</v>
      </c>
      <c r="O54" s="59">
        <v>784</v>
      </c>
      <c r="P54" s="59">
        <f t="shared" si="1859"/>
        <v>0</v>
      </c>
      <c r="Q54" s="59"/>
      <c r="R54" s="59"/>
      <c r="S54" s="59"/>
      <c r="T54" s="59"/>
      <c r="U54" s="59">
        <v>442</v>
      </c>
      <c r="V54" s="59">
        <f t="shared" si="1860"/>
        <v>132.12795148364901</v>
      </c>
      <c r="W54" s="59">
        <v>11895.860000000001</v>
      </c>
      <c r="X54" s="62">
        <f t="shared" si="1861"/>
        <v>0.60717570703338097</v>
      </c>
      <c r="Y54" s="62">
        <f t="shared" si="1862"/>
        <v>1.0181729431242801</v>
      </c>
      <c r="Z54" s="62">
        <f t="shared" si="1846"/>
        <v>0.20363458862485501</v>
      </c>
      <c r="AA54" s="59">
        <f t="shared" si="1863"/>
        <v>16.132124537112901</v>
      </c>
      <c r="AB54" s="59">
        <v>705.5</v>
      </c>
      <c r="AC54" s="59">
        <f t="shared" si="1864"/>
        <v>8.9008123021676209</v>
      </c>
      <c r="AD54" s="59"/>
      <c r="AE54" s="59"/>
      <c r="AF54" s="59">
        <v>36</v>
      </c>
      <c r="AG54" s="59">
        <f t="shared" si="1847"/>
        <v>18</v>
      </c>
      <c r="AH54" s="59">
        <f t="shared" si="1865"/>
        <v>30.346166219839098</v>
      </c>
      <c r="AI54" s="59">
        <v>1</v>
      </c>
      <c r="AJ54" s="59">
        <f t="shared" si="1866"/>
        <v>0.5</v>
      </c>
      <c r="AK54" s="59">
        <f t="shared" si="1867"/>
        <v>34.118451451485498</v>
      </c>
      <c r="AL54" s="338"/>
      <c r="AM54" s="59"/>
      <c r="AN54" s="59"/>
      <c r="AO54" s="62"/>
      <c r="AP54" s="62"/>
      <c r="AQ54" s="59"/>
      <c r="AR54" s="59"/>
      <c r="AS54" s="59"/>
      <c r="AT54" s="189">
        <f>VLOOKUP(B:B,综合进度!B:N,13,0)</f>
        <v>2.9140760315549499e-003</v>
      </c>
      <c r="AU54" s="59">
        <f t="shared" si="1868"/>
        <v>17.408631930988602</v>
      </c>
      <c r="AV54" s="59"/>
      <c r="AW54" s="59"/>
      <c r="AX54" s="59">
        <f t="shared" si="1869"/>
        <v>239</v>
      </c>
      <c r="AY54" s="59">
        <v>199</v>
      </c>
      <c r="AZ54" s="59">
        <f t="shared" si="1870"/>
        <v>186.252749454785</v>
      </c>
      <c r="BA54" s="59">
        <f t="shared" si="1871"/>
        <v>52.747250545215302</v>
      </c>
      <c r="BB54" s="43">
        <f t="shared" si="1793"/>
        <v>0.28320253365183401</v>
      </c>
      <c r="BC54" s="50">
        <v>585</v>
      </c>
      <c r="BD54" s="50">
        <f t="shared" si="1872"/>
        <v>637.74725054521502</v>
      </c>
      <c r="BG54" s="340"/>
    </row>
    <row r="55" ht="17" customHeight="1">
      <c r="A55" s="46">
        <v>29</v>
      </c>
      <c r="B55" s="82" t="s">
        <v>109</v>
      </c>
      <c r="C55" s="46" t="s">
        <v>93</v>
      </c>
      <c r="D55" s="46">
        <v>2019</v>
      </c>
      <c r="E55" s="46" t="s">
        <v>94</v>
      </c>
      <c r="F55" s="46"/>
      <c r="G55" s="73">
        <v>150030</v>
      </c>
      <c r="H55" s="59">
        <f t="shared" si="1853"/>
        <v>135027</v>
      </c>
      <c r="I55" s="59">
        <f t="shared" si="1795"/>
        <v>0</v>
      </c>
      <c r="J55" s="59">
        <f t="shared" si="1796"/>
        <v>0</v>
      </c>
      <c r="K55" s="59">
        <f t="shared" si="1797"/>
        <v>0</v>
      </c>
      <c r="L55" s="59">
        <f t="shared" si="1798"/>
        <v>135027</v>
      </c>
      <c r="M55" s="59">
        <f t="shared" si="1799"/>
        <v>0</v>
      </c>
      <c r="N55" s="59">
        <v>20995</v>
      </c>
      <c r="O55" s="59">
        <v>51303</v>
      </c>
      <c r="P55" s="59">
        <f t="shared" si="1859"/>
        <v>18185.400000000001</v>
      </c>
      <c r="Q55" s="59">
        <v>9484</v>
      </c>
      <c r="R55" s="59"/>
      <c r="S55" s="59">
        <v>12495</v>
      </c>
      <c r="T55" s="59"/>
      <c r="U55" s="59">
        <v>3216</v>
      </c>
      <c r="V55" s="59">
        <f t="shared" si="1860"/>
        <v>2477.48491726465</v>
      </c>
      <c r="W55" s="59">
        <v>11910.17</v>
      </c>
      <c r="X55" s="62">
        <f t="shared" si="1861"/>
        <v>0.60486653262374501</v>
      </c>
      <c r="Y55" s="62">
        <f t="shared" si="1862"/>
        <v>10.344729874197601</v>
      </c>
      <c r="Z55" s="62">
        <f t="shared" ref="Z55:Z60" si="1873">Y55*1</f>
        <v>10.344729874197601</v>
      </c>
      <c r="AA55" s="59">
        <f t="shared" si="1863"/>
        <v>819.519275975195</v>
      </c>
      <c r="AB55" s="59">
        <v>11507.85</v>
      </c>
      <c r="AC55" s="59">
        <f t="shared" si="1864"/>
        <v>145.18669433238799</v>
      </c>
      <c r="AD55" s="59"/>
      <c r="AE55" s="59"/>
      <c r="AF55" s="59">
        <v>91</v>
      </c>
      <c r="AG55" s="59">
        <f t="shared" ref="AG55:AG58" si="1874">AF55</f>
        <v>91</v>
      </c>
      <c r="AH55" s="59">
        <f t="shared" si="1865"/>
        <v>153.41672922251999</v>
      </c>
      <c r="AI55" s="59">
        <v>1</v>
      </c>
      <c r="AJ55" s="59">
        <f t="shared" ref="AJ55:AJ58" si="1875">AI55</f>
        <v>1</v>
      </c>
      <c r="AK55" s="59">
        <f t="shared" si="1867"/>
        <v>68.236902902970996</v>
      </c>
      <c r="AL55" s="338"/>
      <c r="AM55" s="59"/>
      <c r="AN55" s="59">
        <v>1000</v>
      </c>
      <c r="AO55" s="62"/>
      <c r="AP55" s="62"/>
      <c r="AQ55" s="59"/>
      <c r="AR55" s="59"/>
      <c r="AS55" s="59"/>
      <c r="AT55" s="189">
        <f>VLOOKUP(B:B,综合进度!B:N,13,0)</f>
        <v>1.8377214688306099e-002</v>
      </c>
      <c r="AU55" s="59">
        <f t="shared" si="1868"/>
        <v>109.785113003647</v>
      </c>
      <c r="AV55" s="59"/>
      <c r="AW55" s="59"/>
      <c r="AX55" s="59">
        <f t="shared" si="1869"/>
        <v>4774</v>
      </c>
      <c r="AY55" s="59">
        <v>4267</v>
      </c>
      <c r="AZ55" s="59">
        <f t="shared" si="1870"/>
        <v>3993.67076343501</v>
      </c>
      <c r="BA55" s="59">
        <f t="shared" si="1871"/>
        <v>780.32923656499304</v>
      </c>
      <c r="BB55" s="43">
        <f t="shared" si="1793"/>
        <v>0.19539147886437699</v>
      </c>
      <c r="BC55" s="50">
        <v>828</v>
      </c>
      <c r="BD55" s="50">
        <f t="shared" si="1872"/>
        <v>1608.32923656499</v>
      </c>
      <c r="BF55" s="341"/>
      <c r="BG55" s="339"/>
    </row>
    <row r="56" ht="17" customHeight="1">
      <c r="A56" s="46">
        <v>30</v>
      </c>
      <c r="B56" s="82" t="s">
        <v>106</v>
      </c>
      <c r="C56" s="46" t="s">
        <v>90</v>
      </c>
      <c r="D56" s="46">
        <v>2018</v>
      </c>
      <c r="E56" s="46" t="s">
        <v>91</v>
      </c>
      <c r="F56" s="46"/>
      <c r="G56" s="73">
        <v>96295</v>
      </c>
      <c r="H56" s="59">
        <f t="shared" si="1853"/>
        <v>77036</v>
      </c>
      <c r="I56" s="59">
        <f t="shared" si="1795"/>
        <v>0</v>
      </c>
      <c r="J56" s="59">
        <f t="shared" si="1796"/>
        <v>0</v>
      </c>
      <c r="K56" s="59">
        <f t="shared" si="1797"/>
        <v>77036</v>
      </c>
      <c r="L56" s="59">
        <f t="shared" si="1798"/>
        <v>0</v>
      </c>
      <c r="M56" s="59">
        <f t="shared" si="1799"/>
        <v>0</v>
      </c>
      <c r="N56" s="59">
        <v>9996</v>
      </c>
      <c r="O56" s="59">
        <v>5894</v>
      </c>
      <c r="P56" s="59">
        <f t="shared" si="1859"/>
        <v>619.79999999999995</v>
      </c>
      <c r="Q56" s="59">
        <v>1033</v>
      </c>
      <c r="R56" s="59"/>
      <c r="S56" s="59"/>
      <c r="T56" s="59"/>
      <c r="U56" s="59">
        <v>1863</v>
      </c>
      <c r="V56" s="59">
        <f t="shared" si="1860"/>
        <v>1091.0462391152601</v>
      </c>
      <c r="W56" s="59">
        <v>11878.639999999999</v>
      </c>
      <c r="X56" s="62">
        <f t="shared" si="1861"/>
        <v>0.60995446198334102</v>
      </c>
      <c r="Y56" s="62">
        <f t="shared" si="1862"/>
        <v>6.4832669718671303</v>
      </c>
      <c r="Z56" s="62">
        <f t="shared" si="1873"/>
        <v>6.4832669718671303</v>
      </c>
      <c r="AA56" s="59">
        <f t="shared" si="1863"/>
        <v>513.61053593007102</v>
      </c>
      <c r="AB56" s="59">
        <v>4509.8000000000002</v>
      </c>
      <c r="AC56" s="59">
        <f t="shared" si="1864"/>
        <v>56.897070617031297</v>
      </c>
      <c r="AD56" s="59"/>
      <c r="AE56" s="59"/>
      <c r="AF56" s="59">
        <v>40</v>
      </c>
      <c r="AG56" s="59">
        <f t="shared" si="1874"/>
        <v>40</v>
      </c>
      <c r="AH56" s="59">
        <f t="shared" si="1865"/>
        <v>67.435924932975894</v>
      </c>
      <c r="AI56" s="59">
        <v>1</v>
      </c>
      <c r="AJ56" s="59">
        <f t="shared" si="1875"/>
        <v>1</v>
      </c>
      <c r="AK56" s="59">
        <f t="shared" si="1867"/>
        <v>68.236902902970996</v>
      </c>
      <c r="AL56" s="338"/>
      <c r="AM56" s="59"/>
      <c r="AN56" s="59">
        <v>3000</v>
      </c>
      <c r="AO56" s="62"/>
      <c r="AP56" s="62"/>
      <c r="AQ56" s="59"/>
      <c r="AR56" s="59"/>
      <c r="AS56" s="59"/>
      <c r="AT56" s="189">
        <f>VLOOKUP(B:B,综合进度!B:N,13,0)</f>
        <v>7.39423258620725e-003</v>
      </c>
      <c r="AU56" s="59">
        <f t="shared" si="1868"/>
        <v>44.172997585350402</v>
      </c>
      <c r="AV56" s="59"/>
      <c r="AW56" s="59"/>
      <c r="AX56" s="59">
        <f t="shared" si="1869"/>
        <v>4841</v>
      </c>
      <c r="AY56" s="59">
        <v>1478</v>
      </c>
      <c r="AZ56" s="59">
        <f t="shared" si="1870"/>
        <v>1383.3244406742299</v>
      </c>
      <c r="BA56" s="59">
        <f t="shared" si="1871"/>
        <v>3457.6755593257699</v>
      </c>
      <c r="BB56" s="43">
        <f t="shared" si="1793"/>
        <v>2.4995405688346701</v>
      </c>
      <c r="BC56" s="50">
        <v>-160</v>
      </c>
      <c r="BD56" s="50">
        <f t="shared" si="1872"/>
        <v>3297.6755593257699</v>
      </c>
      <c r="BG56" s="340"/>
    </row>
    <row r="57" ht="17" customHeight="1">
      <c r="A57" s="46">
        <v>31</v>
      </c>
      <c r="B57" s="82" t="s">
        <v>105</v>
      </c>
      <c r="C57" s="46" t="s">
        <v>90</v>
      </c>
      <c r="D57" s="46">
        <v>2017</v>
      </c>
      <c r="E57" s="46"/>
      <c r="F57" s="46"/>
      <c r="G57" s="73">
        <v>36640</v>
      </c>
      <c r="H57" s="59">
        <f t="shared" si="1853"/>
        <v>25648</v>
      </c>
      <c r="I57" s="59">
        <f t="shared" si="1795"/>
        <v>0</v>
      </c>
      <c r="J57" s="59">
        <f t="shared" si="1796"/>
        <v>25648</v>
      </c>
      <c r="K57" s="59">
        <f t="shared" si="1797"/>
        <v>0</v>
      </c>
      <c r="L57" s="59">
        <f t="shared" si="1798"/>
        <v>0</v>
      </c>
      <c r="M57" s="59">
        <f t="shared" si="1799"/>
        <v>0</v>
      </c>
      <c r="N57" s="59">
        <v>5851</v>
      </c>
      <c r="O57" s="59">
        <v>4424</v>
      </c>
      <c r="P57" s="59">
        <f t="shared" si="1859"/>
        <v>0</v>
      </c>
      <c r="Q57" s="59"/>
      <c r="R57" s="59"/>
      <c r="S57" s="59"/>
      <c r="T57" s="59"/>
      <c r="U57" s="59">
        <v>0</v>
      </c>
      <c r="V57" s="59">
        <f t="shared" si="1860"/>
        <v>453.12669091560002</v>
      </c>
      <c r="W57" s="59">
        <v>12298.75</v>
      </c>
      <c r="X57" s="62">
        <f t="shared" si="1861"/>
        <v>0.54216220054155095</v>
      </c>
      <c r="Y57" s="62">
        <f t="shared" si="1862"/>
        <v>2.3037014063211001</v>
      </c>
      <c r="Z57" s="62">
        <f t="shared" ref="Z57:Z58" si="1876">Y57*0.5</f>
        <v>1.15185070316055</v>
      </c>
      <c r="AA57" s="59">
        <f t="shared" si="1863"/>
        <v>91.250701155584693</v>
      </c>
      <c r="AB57" s="59">
        <v>4259.4390000000003</v>
      </c>
      <c r="AC57" s="59">
        <f t="shared" si="1864"/>
        <v>53.738436642852697</v>
      </c>
      <c r="AD57" s="59"/>
      <c r="AE57" s="59"/>
      <c r="AF57" s="59">
        <v>34</v>
      </c>
      <c r="AG57" s="59">
        <f t="shared" si="1874"/>
        <v>34</v>
      </c>
      <c r="AH57" s="59">
        <f t="shared" si="1865"/>
        <v>57.320536193029497</v>
      </c>
      <c r="AI57" s="59">
        <v>1</v>
      </c>
      <c r="AJ57" s="59">
        <f t="shared" si="1875"/>
        <v>1</v>
      </c>
      <c r="AK57" s="59">
        <f t="shared" si="1867"/>
        <v>68.236902902970996</v>
      </c>
      <c r="AL57" s="338"/>
      <c r="AM57" s="59"/>
      <c r="AN57" s="59"/>
      <c r="AO57" s="62"/>
      <c r="AP57" s="62"/>
      <c r="AQ57" s="59"/>
      <c r="AR57" s="59"/>
      <c r="AS57" s="59"/>
      <c r="AT57" s="189">
        <f>VLOOKUP(B:B,综合进度!B:N,13,0)</f>
        <v>3.3807919518161898e-003</v>
      </c>
      <c r="AU57" s="59">
        <f t="shared" si="1868"/>
        <v>20.196783504310901</v>
      </c>
      <c r="AV57" s="59"/>
      <c r="AW57" s="59"/>
      <c r="AX57" s="59">
        <f t="shared" si="1869"/>
        <v>744</v>
      </c>
      <c r="AY57" s="59">
        <v>634</v>
      </c>
      <c r="AZ57" s="59">
        <f t="shared" si="1870"/>
        <v>593.38815655444</v>
      </c>
      <c r="BA57" s="59">
        <f t="shared" si="1871"/>
        <v>150.61184344556</v>
      </c>
      <c r="BB57" s="43">
        <f t="shared" si="1793"/>
        <v>0.25381673324944798</v>
      </c>
      <c r="BC57" s="50">
        <v>1614</v>
      </c>
      <c r="BD57" s="50">
        <f t="shared" si="1872"/>
        <v>1764.61184344556</v>
      </c>
      <c r="BG57" s="340"/>
    </row>
    <row r="58" ht="17" customHeight="1">
      <c r="A58" s="46">
        <v>32</v>
      </c>
      <c r="B58" s="82" t="s">
        <v>104</v>
      </c>
      <c r="C58" s="46" t="s">
        <v>90</v>
      </c>
      <c r="D58" s="46">
        <v>2018</v>
      </c>
      <c r="E58" s="46"/>
      <c r="F58" s="46"/>
      <c r="G58" s="73">
        <v>64465</v>
      </c>
      <c r="H58" s="59">
        <f t="shared" si="1853"/>
        <v>51572</v>
      </c>
      <c r="I58" s="59">
        <f t="shared" si="1795"/>
        <v>0</v>
      </c>
      <c r="J58" s="59">
        <f t="shared" si="1796"/>
        <v>0</v>
      </c>
      <c r="K58" s="59">
        <f t="shared" si="1797"/>
        <v>51572</v>
      </c>
      <c r="L58" s="59">
        <f t="shared" si="1798"/>
        <v>0</v>
      </c>
      <c r="M58" s="59">
        <f t="shared" si="1799"/>
        <v>0</v>
      </c>
      <c r="N58" s="59">
        <v>5895</v>
      </c>
      <c r="O58" s="59">
        <v>5692</v>
      </c>
      <c r="P58" s="59">
        <f t="shared" si="1859"/>
        <v>552.60000000000002</v>
      </c>
      <c r="Q58" s="59">
        <v>921</v>
      </c>
      <c r="R58" s="59"/>
      <c r="S58" s="59"/>
      <c r="T58" s="59"/>
      <c r="U58" s="59">
        <v>1538</v>
      </c>
      <c r="V58" s="59">
        <f t="shared" si="1860"/>
        <v>708.49364810143595</v>
      </c>
      <c r="W58" s="59">
        <v>10774.389999999999</v>
      </c>
      <c r="X58" s="62">
        <f t="shared" si="1861"/>
        <v>0.78814494708747096</v>
      </c>
      <c r="Y58" s="62">
        <f t="shared" si="1862"/>
        <v>5.5453878477074499</v>
      </c>
      <c r="Z58" s="62">
        <f t="shared" si="1876"/>
        <v>2.77269392385372</v>
      </c>
      <c r="AA58" s="59">
        <f t="shared" si="1863"/>
        <v>219.655432728607</v>
      </c>
      <c r="AB58" s="59">
        <v>2897.6900000000001</v>
      </c>
      <c r="AC58" s="59">
        <f t="shared" si="1864"/>
        <v>36.558178313066101</v>
      </c>
      <c r="AD58" s="59"/>
      <c r="AE58" s="59"/>
      <c r="AF58" s="59">
        <v>17</v>
      </c>
      <c r="AG58" s="59">
        <f t="shared" si="1874"/>
        <v>17</v>
      </c>
      <c r="AH58" s="59">
        <f t="shared" si="1865"/>
        <v>28.660268096514699</v>
      </c>
      <c r="AI58" s="59">
        <v>1</v>
      </c>
      <c r="AJ58" s="59">
        <f t="shared" si="1875"/>
        <v>1</v>
      </c>
      <c r="AK58" s="59">
        <f t="shared" si="1867"/>
        <v>68.236902902970996</v>
      </c>
      <c r="AL58" s="338"/>
      <c r="AM58" s="59"/>
      <c r="AN58" s="59"/>
      <c r="AO58" s="62"/>
      <c r="AP58" s="62"/>
      <c r="AQ58" s="59"/>
      <c r="AR58" s="59"/>
      <c r="AS58" s="59"/>
      <c r="AT58" s="189">
        <f>VLOOKUP(B:B,综合进度!B:N,13,0)</f>
        <v>5.0987059953884499e-003</v>
      </c>
      <c r="AU58" s="59">
        <f t="shared" si="1868"/>
        <v>30.4595676423307</v>
      </c>
      <c r="AV58" s="59"/>
      <c r="AW58" s="59"/>
      <c r="AX58" s="59">
        <f t="shared" si="1869"/>
        <v>1092</v>
      </c>
      <c r="AY58" s="59">
        <v>1031</v>
      </c>
      <c r="AZ58" s="59">
        <f t="shared" si="1870"/>
        <v>964.95771199941203</v>
      </c>
      <c r="BA58" s="59">
        <f t="shared" si="1871"/>
        <v>127.042288000588</v>
      </c>
      <c r="BB58" s="43">
        <f t="shared" si="1793"/>
        <v>0.1316558087684</v>
      </c>
      <c r="BC58" s="50">
        <v>566</v>
      </c>
      <c r="BD58" s="50">
        <f t="shared" si="1872"/>
        <v>693.04228800058797</v>
      </c>
      <c r="BG58" s="340"/>
    </row>
    <row r="59" ht="17" customHeight="1">
      <c r="A59" s="46">
        <v>33</v>
      </c>
      <c r="B59" s="82" t="s">
        <v>103</v>
      </c>
      <c r="C59" s="46" t="s">
        <v>78</v>
      </c>
      <c r="D59" s="46"/>
      <c r="E59" s="46"/>
      <c r="F59" s="46"/>
      <c r="G59" s="73">
        <v>33845</v>
      </c>
      <c r="H59" s="59">
        <f t="shared" si="1853"/>
        <v>20307</v>
      </c>
      <c r="I59" s="59">
        <f t="shared" si="1795"/>
        <v>20307</v>
      </c>
      <c r="J59" s="59">
        <f t="shared" si="1796"/>
        <v>0</v>
      </c>
      <c r="K59" s="59">
        <f t="shared" si="1797"/>
        <v>0</v>
      </c>
      <c r="L59" s="59">
        <f t="shared" si="1798"/>
        <v>0</v>
      </c>
      <c r="M59" s="59">
        <f t="shared" si="1799"/>
        <v>0</v>
      </c>
      <c r="N59" s="59">
        <v>8035</v>
      </c>
      <c r="O59" s="59">
        <v>3734</v>
      </c>
      <c r="P59" s="59">
        <f t="shared" si="1859"/>
        <v>0</v>
      </c>
      <c r="Q59" s="59"/>
      <c r="R59" s="59"/>
      <c r="S59" s="59"/>
      <c r="T59" s="59"/>
      <c r="U59" s="59">
        <v>988</v>
      </c>
      <c r="V59" s="59">
        <f t="shared" si="1860"/>
        <v>578.77099720938202</v>
      </c>
      <c r="W59" s="59">
        <v>11453.129999999999</v>
      </c>
      <c r="X59" s="62">
        <f t="shared" si="1861"/>
        <v>0.67861810999480399</v>
      </c>
      <c r="Y59" s="62">
        <f t="shared" si="1862"/>
        <v>2.8420526446582399</v>
      </c>
      <c r="Z59" s="62">
        <f>Y59*0.2</f>
        <v>0.56841052893164801</v>
      </c>
      <c r="AA59" s="59">
        <f t="shared" si="1863"/>
        <v>45.030019226371898</v>
      </c>
      <c r="AB59" s="59">
        <v>2938.3099999999999</v>
      </c>
      <c r="AC59" s="59">
        <f t="shared" si="1864"/>
        <v>37.070653147529598</v>
      </c>
      <c r="AD59" s="59"/>
      <c r="AE59" s="59"/>
      <c r="AF59" s="59">
        <v>25</v>
      </c>
      <c r="AG59" s="59">
        <f>AF59*0.5</f>
        <v>12.5</v>
      </c>
      <c r="AH59" s="59">
        <f t="shared" si="1865"/>
        <v>21.073726541555001</v>
      </c>
      <c r="AI59" s="59">
        <v>1</v>
      </c>
      <c r="AJ59" s="59">
        <f>AI59*0.5</f>
        <v>0.5</v>
      </c>
      <c r="AK59" s="59">
        <f t="shared" si="1867"/>
        <v>34.118451451485498</v>
      </c>
      <c r="AL59" s="338"/>
      <c r="AM59" s="59"/>
      <c r="AN59" s="59"/>
      <c r="AO59" s="62"/>
      <c r="AP59" s="62"/>
      <c r="AQ59" s="59"/>
      <c r="AR59" s="59"/>
      <c r="AS59" s="59"/>
      <c r="AT59" s="189">
        <f>VLOOKUP(B:B,综合进度!B:N,13,0)</f>
        <v>3.7290991804735199e-003</v>
      </c>
      <c r="AU59" s="59">
        <f t="shared" si="1868"/>
        <v>22.2775639221652</v>
      </c>
      <c r="AV59" s="59"/>
      <c r="AW59" s="59"/>
      <c r="AX59" s="59">
        <f t="shared" si="1869"/>
        <v>738</v>
      </c>
      <c r="AY59" s="59">
        <v>536</v>
      </c>
      <c r="AZ59" s="59">
        <f t="shared" si="1870"/>
        <v>501.66569702394298</v>
      </c>
      <c r="BA59" s="59">
        <f t="shared" si="1871"/>
        <v>236.33430297605699</v>
      </c>
      <c r="BB59" s="43">
        <f t="shared" si="1793"/>
        <v>0.47109918891818903</v>
      </c>
      <c r="BC59" s="50">
        <v>2134</v>
      </c>
      <c r="BD59" s="50">
        <f t="shared" si="1872"/>
        <v>2370.3343029760599</v>
      </c>
      <c r="BG59" s="340"/>
    </row>
    <row r="60" s="5" customFormat="1" ht="17" customHeight="1">
      <c r="A60" s="46">
        <v>34</v>
      </c>
      <c r="B60" s="82" t="s">
        <v>107</v>
      </c>
      <c r="C60" s="46" t="s">
        <v>93</v>
      </c>
      <c r="D60" s="46">
        <v>2020</v>
      </c>
      <c r="E60" s="46" t="s">
        <v>94</v>
      </c>
      <c r="F60" s="46"/>
      <c r="G60" s="73">
        <v>314717</v>
      </c>
      <c r="H60" s="59">
        <f t="shared" si="1853"/>
        <v>314717</v>
      </c>
      <c r="I60" s="59">
        <f t="shared" si="1795"/>
        <v>0</v>
      </c>
      <c r="J60" s="59">
        <f t="shared" si="1796"/>
        <v>0</v>
      </c>
      <c r="K60" s="59">
        <f t="shared" si="1797"/>
        <v>0</v>
      </c>
      <c r="L60" s="59">
        <f t="shared" si="1798"/>
        <v>0</v>
      </c>
      <c r="M60" s="59">
        <f t="shared" si="1799"/>
        <v>314717</v>
      </c>
      <c r="N60" s="59">
        <v>38583</v>
      </c>
      <c r="O60" s="59">
        <v>83627</v>
      </c>
      <c r="P60" s="59">
        <f t="shared" si="1859"/>
        <v>65885.600000000006</v>
      </c>
      <c r="Q60" s="59">
        <v>5196</v>
      </c>
      <c r="R60" s="59"/>
      <c r="S60" s="59">
        <v>62768</v>
      </c>
      <c r="T60" s="59"/>
      <c r="U60" s="59">
        <v>5229</v>
      </c>
      <c r="V60" s="59">
        <f t="shared" si="1860"/>
        <v>5684.1035081239097</v>
      </c>
      <c r="W60" s="59">
        <v>9862.1700000000001</v>
      </c>
      <c r="X60" s="62">
        <f t="shared" si="1861"/>
        <v>0.93534795756670197</v>
      </c>
      <c r="Y60" s="62">
        <f t="shared" si="1862"/>
        <v>33.045843340831603</v>
      </c>
      <c r="Z60" s="62">
        <f t="shared" si="1873"/>
        <v>33.045843340831603</v>
      </c>
      <c r="AA60" s="59">
        <f t="shared" si="1863"/>
        <v>2617.9229364139001</v>
      </c>
      <c r="AB60" s="59">
        <v>19899.93</v>
      </c>
      <c r="AC60" s="59">
        <f t="shared" si="1864"/>
        <v>251.06384373674601</v>
      </c>
      <c r="AD60" s="59"/>
      <c r="AE60" s="59"/>
      <c r="AF60" s="59">
        <v>69</v>
      </c>
      <c r="AG60" s="59">
        <f>AF60</f>
        <v>69</v>
      </c>
      <c r="AH60" s="59">
        <f t="shared" si="1865"/>
        <v>116.326970509383</v>
      </c>
      <c r="AI60" s="59">
        <v>1</v>
      </c>
      <c r="AJ60" s="59">
        <f>AI60</f>
        <v>1</v>
      </c>
      <c r="AK60" s="59">
        <f t="shared" si="1867"/>
        <v>68.236902902970996</v>
      </c>
      <c r="AL60" s="338"/>
      <c r="AM60" s="59"/>
      <c r="AN60" s="59">
        <v>1000</v>
      </c>
      <c r="AO60" s="62"/>
      <c r="AP60" s="62"/>
      <c r="AQ60" s="59"/>
      <c r="AR60" s="59"/>
      <c r="AS60" s="59"/>
      <c r="AT60" s="189">
        <f>VLOOKUP(B:B,综合进度!B:N,13,0)</f>
        <v>4.2612673963418397e-002</v>
      </c>
      <c r="AU60" s="59">
        <f t="shared" si="1868"/>
        <v>254.56726200398199</v>
      </c>
      <c r="AV60" s="59"/>
      <c r="AW60" s="59"/>
      <c r="AX60" s="59">
        <f t="shared" si="1869"/>
        <v>9992</v>
      </c>
      <c r="AY60" s="59">
        <v>15995</v>
      </c>
      <c r="AZ60" s="59">
        <f t="shared" si="1870"/>
        <v>14970.415716227501</v>
      </c>
      <c r="BA60" s="59">
        <f t="shared" si="1871"/>
        <v>-4978.4157162275396</v>
      </c>
      <c r="BB60" s="43">
        <f t="shared" si="1793"/>
        <v>-0.332550265176075</v>
      </c>
      <c r="BC60" s="50">
        <v>1609</v>
      </c>
      <c r="BD60" s="50">
        <f t="shared" si="1872"/>
        <v>-3369.4157162275401</v>
      </c>
      <c r="BF60" s="341"/>
      <c r="BG60" s="339"/>
    </row>
    <row r="61" s="5" customFormat="1" ht="17" customHeight="1">
      <c r="A61" s="65"/>
      <c r="B61" s="66" t="s">
        <v>110</v>
      </c>
      <c r="C61" s="67">
        <v>1</v>
      </c>
      <c r="D61" s="67"/>
      <c r="E61" s="67"/>
      <c r="F61" s="68"/>
      <c r="G61" s="69">
        <f t="shared" ref="G61:U61" si="1877">G62+G63</f>
        <v>85777</v>
      </c>
      <c r="H61" s="69">
        <f t="shared" si="1877"/>
        <v>51466.199999999997</v>
      </c>
      <c r="I61" s="69">
        <f t="shared" si="1877"/>
        <v>51466.199999999997</v>
      </c>
      <c r="J61" s="69">
        <f t="shared" si="1877"/>
        <v>0</v>
      </c>
      <c r="K61" s="69">
        <f t="shared" si="1877"/>
        <v>0</v>
      </c>
      <c r="L61" s="69">
        <f t="shared" si="1877"/>
        <v>0</v>
      </c>
      <c r="M61" s="69">
        <f t="shared" si="1877"/>
        <v>0</v>
      </c>
      <c r="N61" s="69">
        <f t="shared" si="1877"/>
        <v>10598</v>
      </c>
      <c r="O61" s="69">
        <f t="shared" si="1877"/>
        <v>5246</v>
      </c>
      <c r="P61" s="69">
        <f t="shared" si="1877"/>
        <v>0</v>
      </c>
      <c r="Q61" s="59">
        <v>0</v>
      </c>
      <c r="R61" s="69">
        <f>R62+R63</f>
        <v>0</v>
      </c>
      <c r="S61" s="69">
        <f>S62+S63</f>
        <v>0</v>
      </c>
      <c r="T61" s="69">
        <f>T62+T63</f>
        <v>0</v>
      </c>
      <c r="U61" s="69">
        <f>U62+U63</f>
        <v>2860</v>
      </c>
      <c r="V61" s="69">
        <f>V62+V63</f>
        <v>996.98520066639298</v>
      </c>
      <c r="W61" s="69"/>
      <c r="X61" s="69">
        <f t="shared" ref="X61:AE61" si="1878">X62+X63</f>
        <v>3.95858170540034</v>
      </c>
      <c r="Y61" s="69">
        <f t="shared" si="1878"/>
        <v>4.1529175456913201</v>
      </c>
      <c r="Z61" s="69">
        <f t="shared" si="1878"/>
        <v>0.83058350913826295</v>
      </c>
      <c r="AA61" s="69">
        <f t="shared" si="1878"/>
        <v>65.799610460947306</v>
      </c>
      <c r="AB61" s="69">
        <f t="shared" si="1878"/>
        <v>7595.6400000000003</v>
      </c>
      <c r="AC61" s="69">
        <f t="shared" si="1878"/>
        <v>95.829009149307595</v>
      </c>
      <c r="AD61" s="69"/>
      <c r="AE61" s="69"/>
      <c r="AF61" s="69">
        <f t="shared" ref="AF61:AP61" si="1879">AF62+AF63</f>
        <v>84</v>
      </c>
      <c r="AG61" s="69">
        <f t="shared" si="1879"/>
        <v>42</v>
      </c>
      <c r="AH61" s="69">
        <f t="shared" si="1879"/>
        <v>70.807721179624707</v>
      </c>
      <c r="AI61" s="69">
        <f t="shared" si="1879"/>
        <v>5.5281608287293604</v>
      </c>
      <c r="AJ61" s="69">
        <f t="shared" si="1879"/>
        <v>2.7640804143646802</v>
      </c>
      <c r="AK61" s="69">
        <f t="shared" si="1879"/>
        <v>188.61228685100701</v>
      </c>
      <c r="AL61" s="69"/>
      <c r="AM61" s="69"/>
      <c r="AN61" s="69">
        <f t="shared" si="1879"/>
        <v>0</v>
      </c>
      <c r="AO61" s="71"/>
      <c r="AP61" s="69"/>
      <c r="AQ61" s="69">
        <f t="shared" ref="AP61:AU61" si="1880">AQ62+AQ63</f>
        <v>0</v>
      </c>
      <c r="AR61" s="69"/>
      <c r="AS61" s="69">
        <f t="shared" si="1880"/>
        <v>0</v>
      </c>
      <c r="AT61" s="403">
        <f t="shared" si="1880"/>
        <v>2.4383926497157499e-002</v>
      </c>
      <c r="AU61" s="69">
        <f t="shared" si="1880"/>
        <v>145.66908921548901</v>
      </c>
      <c r="AV61" s="69"/>
      <c r="AW61" s="71"/>
      <c r="AX61" s="69">
        <f>AX62+AX63</f>
        <v>1564</v>
      </c>
      <c r="AY61" s="69">
        <v>1496</v>
      </c>
      <c r="AZ61" s="69">
        <f t="shared" ref="AZ61:BD61" si="1881">AZ62+AZ63</f>
        <v>1400.1714230369701</v>
      </c>
      <c r="BA61" s="69">
        <f t="shared" si="1881"/>
        <v>163.828576963025</v>
      </c>
      <c r="BB61" s="336">
        <f t="shared" si="1793"/>
        <v>0.117006085303242</v>
      </c>
      <c r="BC61" s="404">
        <v>3285</v>
      </c>
      <c r="BD61" s="69">
        <f t="shared" si="1881"/>
        <v>3435.8285769630302</v>
      </c>
      <c r="BG61" s="340"/>
    </row>
    <row r="62" s="5" customFormat="1" ht="17" customHeight="1">
      <c r="A62" s="44"/>
      <c r="B62" s="72" t="s">
        <v>111</v>
      </c>
      <c r="C62" s="46">
        <v>2</v>
      </c>
      <c r="D62" s="46"/>
      <c r="E62" s="46"/>
      <c r="F62" s="46"/>
      <c r="G62" s="73"/>
      <c r="H62" s="59">
        <f t="shared" ref="H62:H72" si="1882">SUM(I62:M62)</f>
        <v>0</v>
      </c>
      <c r="I62" s="59">
        <f t="shared" si="1795"/>
        <v>0</v>
      </c>
      <c r="J62" s="59">
        <f t="shared" si="1796"/>
        <v>0</v>
      </c>
      <c r="K62" s="59">
        <f t="shared" si="1797"/>
        <v>0</v>
      </c>
      <c r="L62" s="59">
        <f t="shared" si="1798"/>
        <v>0</v>
      </c>
      <c r="M62" s="59">
        <f t="shared" si="1799"/>
        <v>0</v>
      </c>
      <c r="N62" s="59"/>
      <c r="O62" s="59"/>
      <c r="P62" s="59">
        <f>L62*0.4+M62*0.6+N62*0.8+O62*1</f>
        <v>0</v>
      </c>
      <c r="Q62" s="59"/>
      <c r="R62" s="59"/>
      <c r="S62" s="59"/>
      <c r="T62" s="59"/>
      <c r="U62" s="59"/>
      <c r="V62" s="59">
        <f>H62/$H$9*134866+N62/$N$9*202299+P62/$P$9*100000+U62/$U$9*34867</f>
        <v>0</v>
      </c>
      <c r="W62" s="59"/>
      <c r="X62" s="62"/>
      <c r="Y62" s="62"/>
      <c r="Z62" s="62"/>
      <c r="AA62" s="59"/>
      <c r="AB62" s="59"/>
      <c r="AC62" s="59"/>
      <c r="AD62" s="59"/>
      <c r="AE62" s="59"/>
      <c r="AF62" s="59"/>
      <c r="AG62" s="59">
        <f>AF62</f>
        <v>0</v>
      </c>
      <c r="AH62" s="59">
        <f>AG62/$AG$9*40459.89</f>
        <v>0</v>
      </c>
      <c r="AI62" s="59"/>
      <c r="AJ62" s="59">
        <f>AI62</f>
        <v>0</v>
      </c>
      <c r="AK62" s="59">
        <f>AJ62/$AJ$9*40459.89</f>
        <v>0</v>
      </c>
      <c r="AL62" s="59"/>
      <c r="AM62" s="59"/>
      <c r="AN62" s="59"/>
      <c r="AO62" s="62"/>
      <c r="AP62" s="62"/>
      <c r="AQ62" s="59"/>
      <c r="AR62" s="59"/>
      <c r="AS62" s="59"/>
      <c r="AT62" s="189"/>
      <c r="AU62" s="59"/>
      <c r="AV62" s="59"/>
      <c r="AW62" s="59"/>
      <c r="AX62" s="59">
        <f>V62+AA62+AC62+AE62+AH62+AK62+AM62+AN62+AQ62+AS62+AU62+AW62</f>
        <v>0</v>
      </c>
      <c r="AY62" s="73"/>
      <c r="AZ62" s="170"/>
      <c r="BA62" s="50"/>
      <c r="BB62" s="43"/>
      <c r="BC62" s="50">
        <v>13</v>
      </c>
      <c r="BD62" s="50"/>
      <c r="BG62" s="340"/>
    </row>
    <row r="63" s="5" customFormat="1" ht="17" customHeight="1">
      <c r="A63" s="75"/>
      <c r="B63" s="76" t="s">
        <v>76</v>
      </c>
      <c r="C63" s="77">
        <v>3</v>
      </c>
      <c r="D63" s="77"/>
      <c r="E63" s="77"/>
      <c r="F63" s="78"/>
      <c r="G63" s="79">
        <f t="shared" ref="G63:U63" si="1883">SUM(G64:G72)</f>
        <v>85777</v>
      </c>
      <c r="H63" s="79">
        <f t="shared" si="1883"/>
        <v>51466.199999999997</v>
      </c>
      <c r="I63" s="79">
        <f t="shared" si="1883"/>
        <v>51466.199999999997</v>
      </c>
      <c r="J63" s="79">
        <f t="shared" si="1883"/>
        <v>0</v>
      </c>
      <c r="K63" s="79">
        <f t="shared" si="1883"/>
        <v>0</v>
      </c>
      <c r="L63" s="79">
        <f t="shared" si="1883"/>
        <v>0</v>
      </c>
      <c r="M63" s="79">
        <f t="shared" si="1883"/>
        <v>0</v>
      </c>
      <c r="N63" s="79">
        <f t="shared" si="1883"/>
        <v>10598</v>
      </c>
      <c r="O63" s="79">
        <f t="shared" si="1883"/>
        <v>5246</v>
      </c>
      <c r="P63" s="79">
        <f t="shared" si="1883"/>
        <v>0</v>
      </c>
      <c r="Q63" s="59">
        <v>0</v>
      </c>
      <c r="R63" s="79">
        <f>SUM(R64:R72)</f>
        <v>0</v>
      </c>
      <c r="S63" s="79">
        <f>SUM(S64:S72)</f>
        <v>0</v>
      </c>
      <c r="T63" s="79">
        <f>SUM(T64:T72)</f>
        <v>0</v>
      </c>
      <c r="U63" s="79">
        <f>SUM(U64:U72)</f>
        <v>2860</v>
      </c>
      <c r="V63" s="79">
        <f>SUM(V64:V72)</f>
        <v>996.98520066639298</v>
      </c>
      <c r="W63" s="79"/>
      <c r="X63" s="79">
        <f t="shared" ref="X63:AE63" si="1884">SUM(X64:X72)</f>
        <v>3.95858170540034</v>
      </c>
      <c r="Y63" s="79">
        <f t="shared" si="1884"/>
        <v>4.1529175456913201</v>
      </c>
      <c r="Z63" s="79">
        <f t="shared" si="1884"/>
        <v>0.83058350913826295</v>
      </c>
      <c r="AA63" s="79">
        <f t="shared" si="1884"/>
        <v>65.799610460947306</v>
      </c>
      <c r="AB63" s="79">
        <f t="shared" si="1884"/>
        <v>7595.6400000000003</v>
      </c>
      <c r="AC63" s="79">
        <f t="shared" si="1884"/>
        <v>95.829009149307595</v>
      </c>
      <c r="AD63" s="79"/>
      <c r="AE63" s="79"/>
      <c r="AF63" s="79">
        <f t="shared" ref="AF63:AS63" si="1885">SUM(AF64:AF72)</f>
        <v>84</v>
      </c>
      <c r="AG63" s="79">
        <f t="shared" si="1885"/>
        <v>42</v>
      </c>
      <c r="AH63" s="79">
        <f t="shared" si="1885"/>
        <v>70.807721179624707</v>
      </c>
      <c r="AI63" s="79">
        <f t="shared" si="1885"/>
        <v>5.5281608287293604</v>
      </c>
      <c r="AJ63" s="79">
        <f t="shared" si="1885"/>
        <v>2.7640804143646802</v>
      </c>
      <c r="AK63" s="79">
        <f t="shared" si="1885"/>
        <v>188.61228685100701</v>
      </c>
      <c r="AL63" s="79"/>
      <c r="AM63" s="79"/>
      <c r="AN63" s="79">
        <f t="shared" si="1885"/>
        <v>0</v>
      </c>
      <c r="AO63" s="79"/>
      <c r="AP63" s="79"/>
      <c r="AQ63" s="79">
        <f t="shared" si="1885"/>
        <v>0</v>
      </c>
      <c r="AR63" s="79"/>
      <c r="AS63" s="79">
        <f t="shared" ref="AS63:AU63" si="1886">SUM(AS64:AS72)</f>
        <v>0</v>
      </c>
      <c r="AT63" s="405">
        <f t="shared" si="1886"/>
        <v>2.4383926497157499e-002</v>
      </c>
      <c r="AU63" s="79">
        <f t="shared" si="1886"/>
        <v>145.66908921548901</v>
      </c>
      <c r="AV63" s="79"/>
      <c r="AW63" s="81"/>
      <c r="AX63" s="79">
        <f>SUM(AX64:AX72)</f>
        <v>1564</v>
      </c>
      <c r="AY63" s="79">
        <v>1496</v>
      </c>
      <c r="AZ63" s="79">
        <f t="shared" ref="AZ63:BD63" si="1887">SUM(AZ64:AZ72)</f>
        <v>1400.1714230369701</v>
      </c>
      <c r="BA63" s="79">
        <f t="shared" si="1887"/>
        <v>163.828576963025</v>
      </c>
      <c r="BB63" s="337">
        <f t="shared" si="1793"/>
        <v>0.117006085303242</v>
      </c>
      <c r="BC63" s="406">
        <v>3272</v>
      </c>
      <c r="BD63" s="79">
        <f t="shared" si="1887"/>
        <v>3435.8285769630302</v>
      </c>
      <c r="BG63" s="340"/>
    </row>
    <row r="64" ht="17" customHeight="1">
      <c r="A64" s="46">
        <v>35</v>
      </c>
      <c r="B64" s="82" t="s">
        <v>112</v>
      </c>
      <c r="C64" s="46" t="s">
        <v>78</v>
      </c>
      <c r="D64" s="46"/>
      <c r="E64" s="46"/>
      <c r="F64" s="46"/>
      <c r="G64" s="73">
        <v>5253</v>
      </c>
      <c r="H64" s="59">
        <f t="shared" si="1882"/>
        <v>3151.8000000000002</v>
      </c>
      <c r="I64" s="59">
        <f t="shared" si="1795"/>
        <v>3151.8000000000002</v>
      </c>
      <c r="J64" s="59">
        <f t="shared" si="1796"/>
        <v>0</v>
      </c>
      <c r="K64" s="59">
        <f t="shared" si="1797"/>
        <v>0</v>
      </c>
      <c r="L64" s="59">
        <f t="shared" si="1798"/>
        <v>0</v>
      </c>
      <c r="M64" s="59">
        <f t="shared" si="1799"/>
        <v>0</v>
      </c>
      <c r="N64" s="59">
        <v>118</v>
      </c>
      <c r="O64" s="59">
        <v>343</v>
      </c>
      <c r="P64" s="59">
        <f t="shared" ref="P64:P72" si="1888">Q64*0.6+R64*0.8+S64*1+T64*1.25</f>
        <v>0</v>
      </c>
      <c r="Q64" s="59"/>
      <c r="R64" s="59"/>
      <c r="S64" s="59"/>
      <c r="T64" s="59"/>
      <c r="U64" s="59">
        <v>212</v>
      </c>
      <c r="V64" s="59">
        <f t="shared" ref="V64:V72" si="1889">H64/$H$9*298699*0.12+N64/$N$9*298699*0.15+P64/$P$9*298699*0.035+U64/$U$9*298699*0.025</f>
        <v>36.393049683622998</v>
      </c>
      <c r="W64" s="59">
        <v>15658.540000000001</v>
      </c>
      <c r="X64" s="62">
        <f t="shared" ref="X64:X72" si="1890">($W$64-W64)/($W$64-$W$44)</f>
        <v>0</v>
      </c>
      <c r="Y64" s="62">
        <f t="shared" ref="Y64:Y72" si="1891">(G64+N64)*X64/10000</f>
        <v>0</v>
      </c>
      <c r="Z64" s="62">
        <f t="shared" ref="Z64:Z72" si="1892">Y64*0.2</f>
        <v>0</v>
      </c>
      <c r="AA64" s="59">
        <f t="shared" ref="AA64:AA72" si="1893">Z64/$Z$9*298699*0.12</f>
        <v>0</v>
      </c>
      <c r="AB64" s="59">
        <v>667.96000000000004</v>
      </c>
      <c r="AC64" s="59">
        <f t="shared" ref="AC64:AC72" si="1894">(AB64/$AB$9*298699*0.03)</f>
        <v>8.4271957269395994</v>
      </c>
      <c r="AD64" s="59"/>
      <c r="AE64" s="59"/>
      <c r="AF64" s="59">
        <v>15</v>
      </c>
      <c r="AG64" s="59">
        <f t="shared" ref="AG64:AG72" si="1895">AF64*0.5</f>
        <v>7.5</v>
      </c>
      <c r="AH64" s="59">
        <f t="shared" ref="AH64:AH72" si="1896">AG64/$AG$9*298699*0.02</f>
        <v>12.644235924933</v>
      </c>
      <c r="AI64" s="59">
        <v>0.90856192851205297</v>
      </c>
      <c r="AJ64" s="59">
        <f t="shared" ref="AJ64:AJ72" si="1897">AI64*0.5</f>
        <v>0.45428096425602599</v>
      </c>
      <c r="AK64" s="59">
        <f t="shared" ref="AK64:AK72" si="1898">AJ64/$AJ$9*298699*0.02</f>
        <v>30.9987260486065</v>
      </c>
      <c r="AL64" s="338"/>
      <c r="AM64" s="59"/>
      <c r="AN64" s="59"/>
      <c r="AO64" s="62"/>
      <c r="AP64" s="62"/>
      <c r="AQ64" s="59"/>
      <c r="AR64" s="59"/>
      <c r="AS64" s="59"/>
      <c r="AT64" s="189">
        <f>VLOOKUP(B:B,综合进度!B:N,13,0)</f>
        <v>2.96499111815974e-003</v>
      </c>
      <c r="AU64" s="59">
        <f t="shared" ref="AU64:AU72" si="1899">AT64/$AT$9*298699*0.02</f>
        <v>17.712797640063901</v>
      </c>
      <c r="AV64" s="59"/>
      <c r="AW64" s="59"/>
      <c r="AX64" s="59">
        <f t="shared" ref="AX64:AX72" si="1900">ROUND(V64+AA64+AC64+AN64+AQ64+AS64+AU64+AW64+AH64+AK64,0)</f>
        <v>106</v>
      </c>
      <c r="AY64" s="59">
        <v>125</v>
      </c>
      <c r="AZ64" s="59">
        <f t="shared" ref="AZ64:AZ72" si="1901">AY64/$AY$9*280243</f>
        <v>116.992933074614</v>
      </c>
      <c r="BA64" s="59">
        <f t="shared" ref="BA64:BA72" si="1902">AX64-AZ64</f>
        <v>-10.9929330746135</v>
      </c>
      <c r="BB64" s="43">
        <f t="shared" si="1793"/>
        <v>-9.3962368373161798e-002</v>
      </c>
      <c r="BC64" s="50">
        <v>895</v>
      </c>
      <c r="BD64" s="50">
        <f t="shared" ref="BD64:BD72" si="1903">BC64+BA64</f>
        <v>884.00706692538699</v>
      </c>
      <c r="BG64" s="340"/>
    </row>
    <row r="65" ht="17" customHeight="1">
      <c r="A65" s="46">
        <v>36</v>
      </c>
      <c r="B65" s="82" t="s">
        <v>115</v>
      </c>
      <c r="C65" s="46" t="s">
        <v>78</v>
      </c>
      <c r="D65" s="46"/>
      <c r="E65" s="46"/>
      <c r="F65" s="46"/>
      <c r="G65" s="73">
        <v>2166</v>
      </c>
      <c r="H65" s="59">
        <f t="shared" si="1882"/>
        <v>1299.5999999999999</v>
      </c>
      <c r="I65" s="59">
        <f t="shared" si="1795"/>
        <v>1299.5999999999999</v>
      </c>
      <c r="J65" s="59">
        <f t="shared" si="1796"/>
        <v>0</v>
      </c>
      <c r="K65" s="59">
        <f t="shared" si="1797"/>
        <v>0</v>
      </c>
      <c r="L65" s="59">
        <f t="shared" si="1798"/>
        <v>0</v>
      </c>
      <c r="M65" s="59">
        <f t="shared" si="1799"/>
        <v>0</v>
      </c>
      <c r="N65" s="59">
        <v>349</v>
      </c>
      <c r="O65" s="59">
        <v>88</v>
      </c>
      <c r="P65" s="59">
        <f t="shared" si="1888"/>
        <v>0</v>
      </c>
      <c r="Q65" s="59"/>
      <c r="R65" s="59"/>
      <c r="S65" s="59"/>
      <c r="T65" s="59"/>
      <c r="U65" s="59">
        <v>66</v>
      </c>
      <c r="V65" s="59">
        <f t="shared" si="1889"/>
        <v>28.926230851752798</v>
      </c>
      <c r="W65" s="59">
        <v>10967.09</v>
      </c>
      <c r="X65" s="62">
        <f t="shared" si="1890"/>
        <v>0.75704935598077805</v>
      </c>
      <c r="Y65" s="62">
        <f t="shared" si="1891"/>
        <v>0.190397913029166</v>
      </c>
      <c r="Z65" s="62">
        <f t="shared" si="1892"/>
        <v>3.80795826058331e-002</v>
      </c>
      <c r="AA65" s="59">
        <f t="shared" si="1893"/>
        <v>3.0167005176624402</v>
      </c>
      <c r="AB65" s="59">
        <v>40</v>
      </c>
      <c r="AC65" s="59">
        <f t="shared" si="1894"/>
        <v>0.50465271734472705</v>
      </c>
      <c r="AD65" s="59"/>
      <c r="AE65" s="59"/>
      <c r="AF65" s="59">
        <v>6</v>
      </c>
      <c r="AG65" s="59">
        <f t="shared" si="1895"/>
        <v>3</v>
      </c>
      <c r="AH65" s="59">
        <f t="shared" si="1896"/>
        <v>5.0576943699731904</v>
      </c>
      <c r="AI65" s="59">
        <v>1</v>
      </c>
      <c r="AJ65" s="59">
        <f t="shared" si="1897"/>
        <v>0.5</v>
      </c>
      <c r="AK65" s="59">
        <f t="shared" si="1898"/>
        <v>34.118451451485498</v>
      </c>
      <c r="AL65" s="338"/>
      <c r="AM65" s="59"/>
      <c r="AN65" s="59"/>
      <c r="AO65" s="62"/>
      <c r="AP65" s="62"/>
      <c r="AQ65" s="59"/>
      <c r="AR65" s="59"/>
      <c r="AS65" s="59"/>
      <c r="AT65" s="189">
        <f>VLOOKUP(B:B,综合进度!B:N,13,0)</f>
        <v>1.82975889404355e-003</v>
      </c>
      <c r="AU65" s="59">
        <f t="shared" si="1899"/>
        <v>10.930943037838301</v>
      </c>
      <c r="AV65" s="59"/>
      <c r="AW65" s="59"/>
      <c r="AX65" s="59">
        <f t="shared" si="1900"/>
        <v>83</v>
      </c>
      <c r="AY65" s="59">
        <v>94</v>
      </c>
      <c r="AZ65" s="59">
        <f t="shared" si="1901"/>
        <v>87.978685672109407</v>
      </c>
      <c r="BA65" s="59">
        <f t="shared" si="1902"/>
        <v>-4.9786856721093597</v>
      </c>
      <c r="BB65" s="43">
        <f t="shared" si="1793"/>
        <v>-5.6589680035282502e-002</v>
      </c>
      <c r="BC65" s="50">
        <v>749</v>
      </c>
      <c r="BD65" s="50">
        <f t="shared" si="1903"/>
        <v>744.02131432789099</v>
      </c>
      <c r="BG65" s="340"/>
    </row>
    <row r="66" ht="17" customHeight="1">
      <c r="A66" s="46">
        <v>37</v>
      </c>
      <c r="B66" s="82" t="s">
        <v>113</v>
      </c>
      <c r="C66" s="46" t="s">
        <v>78</v>
      </c>
      <c r="D66" s="46"/>
      <c r="E66" s="46"/>
      <c r="F66" s="46"/>
      <c r="G66" s="73">
        <v>6785</v>
      </c>
      <c r="H66" s="59">
        <f t="shared" si="1882"/>
        <v>4071</v>
      </c>
      <c r="I66" s="59">
        <f t="shared" si="1795"/>
        <v>4071</v>
      </c>
      <c r="J66" s="59">
        <f t="shared" si="1796"/>
        <v>0</v>
      </c>
      <c r="K66" s="59">
        <f t="shared" si="1797"/>
        <v>0</v>
      </c>
      <c r="L66" s="59">
        <f t="shared" si="1798"/>
        <v>0</v>
      </c>
      <c r="M66" s="59">
        <f t="shared" si="1799"/>
        <v>0</v>
      </c>
      <c r="N66" s="59">
        <v>551</v>
      </c>
      <c r="O66" s="59">
        <v>19</v>
      </c>
      <c r="P66" s="59">
        <f t="shared" si="1888"/>
        <v>0</v>
      </c>
      <c r="Q66" s="59"/>
      <c r="R66" s="59"/>
      <c r="S66" s="59"/>
      <c r="T66" s="59"/>
      <c r="U66" s="59">
        <v>315</v>
      </c>
      <c r="V66" s="59">
        <f t="shared" si="1889"/>
        <v>69.003926941434202</v>
      </c>
      <c r="W66" s="59">
        <v>11997.51</v>
      </c>
      <c r="X66" s="62">
        <f t="shared" si="1890"/>
        <v>0.59077266169868703</v>
      </c>
      <c r="Y66" s="62">
        <f t="shared" si="1891"/>
        <v>0.433390824622157</v>
      </c>
      <c r="Z66" s="62">
        <f t="shared" si="1892"/>
        <v>8.6678164924431395e-002</v>
      </c>
      <c r="AA66" s="59">
        <f t="shared" si="1893"/>
        <v>6.8667261325891698</v>
      </c>
      <c r="AB66" s="59">
        <v>79</v>
      </c>
      <c r="AC66" s="59">
        <f t="shared" si="1894"/>
        <v>0.99668911675583605</v>
      </c>
      <c r="AD66" s="59"/>
      <c r="AE66" s="59"/>
      <c r="AF66" s="59">
        <v>1</v>
      </c>
      <c r="AG66" s="59">
        <f t="shared" si="1895"/>
        <v>0.5</v>
      </c>
      <c r="AH66" s="59">
        <f t="shared" si="1896"/>
        <v>0.84294906166219896</v>
      </c>
      <c r="AI66" s="59">
        <v>0.519893899204244</v>
      </c>
      <c r="AJ66" s="59">
        <f t="shared" si="1897"/>
        <v>0.259946949602122</v>
      </c>
      <c r="AK66" s="59">
        <f t="shared" si="1898"/>
        <v>17.7379747599235</v>
      </c>
      <c r="AL66" s="338"/>
      <c r="AM66" s="59"/>
      <c r="AN66" s="59"/>
      <c r="AO66" s="62"/>
      <c r="AP66" s="62"/>
      <c r="AQ66" s="59"/>
      <c r="AR66" s="59"/>
      <c r="AS66" s="59"/>
      <c r="AT66" s="189">
        <f>VLOOKUP(B:B,综合进度!B:N,13,0)</f>
        <v>2.7311582135222199e-003</v>
      </c>
      <c r="AU66" s="59">
        <f t="shared" si="1899"/>
        <v>16.315884544417401</v>
      </c>
      <c r="AV66" s="59"/>
      <c r="AW66" s="59"/>
      <c r="AX66" s="59">
        <f t="shared" si="1900"/>
        <v>112</v>
      </c>
      <c r="AY66" s="59">
        <v>143</v>
      </c>
      <c r="AZ66" s="59">
        <f t="shared" si="1901"/>
        <v>133.839915437358</v>
      </c>
      <c r="BA66" s="59">
        <f t="shared" si="1902"/>
        <v>-21.839915437357899</v>
      </c>
      <c r="BB66" s="43">
        <f t="shared" si="1793"/>
        <v>-0.16317938759890899</v>
      </c>
      <c r="BC66" s="50">
        <v>-1194</v>
      </c>
      <c r="BD66" s="50">
        <f t="shared" si="1903"/>
        <v>-1215.8399154373601</v>
      </c>
      <c r="BG66" s="340"/>
    </row>
    <row r="67" ht="17" customHeight="1">
      <c r="A67" s="46">
        <v>38</v>
      </c>
      <c r="B67" s="82" t="s">
        <v>114</v>
      </c>
      <c r="C67" s="46" t="s">
        <v>78</v>
      </c>
      <c r="D67" s="46"/>
      <c r="E67" s="46"/>
      <c r="F67" s="46"/>
      <c r="G67" s="73">
        <v>6899</v>
      </c>
      <c r="H67" s="59">
        <f t="shared" si="1882"/>
        <v>4139.3999999999996</v>
      </c>
      <c r="I67" s="59">
        <f t="shared" si="1795"/>
        <v>4139.3999999999996</v>
      </c>
      <c r="J67" s="59">
        <f t="shared" si="1796"/>
        <v>0</v>
      </c>
      <c r="K67" s="59">
        <f t="shared" si="1797"/>
        <v>0</v>
      </c>
      <c r="L67" s="59">
        <f t="shared" si="1798"/>
        <v>0</v>
      </c>
      <c r="M67" s="59">
        <f t="shared" si="1799"/>
        <v>0</v>
      </c>
      <c r="N67" s="59">
        <v>646</v>
      </c>
      <c r="O67" s="59">
        <v>272</v>
      </c>
      <c r="P67" s="59">
        <f t="shared" si="1888"/>
        <v>0</v>
      </c>
      <c r="Q67" s="59"/>
      <c r="R67" s="59"/>
      <c r="S67" s="59"/>
      <c r="T67" s="59"/>
      <c r="U67" s="59">
        <v>312</v>
      </c>
      <c r="V67" s="59">
        <f t="shared" si="1889"/>
        <v>74.026880950895503</v>
      </c>
      <c r="W67" s="59">
        <v>12334.950000000001</v>
      </c>
      <c r="X67" s="62">
        <f t="shared" si="1890"/>
        <v>0.53632068316707104</v>
      </c>
      <c r="Y67" s="62">
        <f t="shared" si="1891"/>
        <v>0.40465395544955501</v>
      </c>
      <c r="Z67" s="62">
        <f t="shared" si="1892"/>
        <v>8.0930791089910997e-002</v>
      </c>
      <c r="AA67" s="59">
        <f t="shared" si="1893"/>
        <v>6.4114137463882397</v>
      </c>
      <c r="AB67" s="59">
        <v>135</v>
      </c>
      <c r="AC67" s="59">
        <f t="shared" si="1894"/>
        <v>1.7032029210384501</v>
      </c>
      <c r="AD67" s="59"/>
      <c r="AE67" s="59"/>
      <c r="AF67" s="59">
        <v>2</v>
      </c>
      <c r="AG67" s="59">
        <f t="shared" si="1895"/>
        <v>1</v>
      </c>
      <c r="AH67" s="59">
        <f t="shared" si="1896"/>
        <v>1.6858981233243999</v>
      </c>
      <c r="AI67" s="59">
        <v>1.0869565217391301e-002</v>
      </c>
      <c r="AJ67" s="59">
        <f t="shared" si="1897"/>
        <v>5.4347826086956503e-003</v>
      </c>
      <c r="AK67" s="59">
        <f t="shared" si="1898"/>
        <v>0.37085273316832001</v>
      </c>
      <c r="AL67" s="338"/>
      <c r="AM67" s="59"/>
      <c r="AN67" s="59"/>
      <c r="AO67" s="62"/>
      <c r="AP67" s="62"/>
      <c r="AQ67" s="59"/>
      <c r="AR67" s="59"/>
      <c r="AS67" s="59"/>
      <c r="AT67" s="189">
        <f>VLOOKUP(B:B,综合进度!B:N,13,0)</f>
        <v>2.5187848238334199e-003</v>
      </c>
      <c r="AU67" s="59">
        <f t="shared" si="1899"/>
        <v>15.0471701618844</v>
      </c>
      <c r="AV67" s="59"/>
      <c r="AW67" s="59"/>
      <c r="AX67" s="59">
        <f t="shared" si="1900"/>
        <v>99</v>
      </c>
      <c r="AY67" s="59">
        <v>153</v>
      </c>
      <c r="AZ67" s="59">
        <f t="shared" si="1901"/>
        <v>143.199350083327</v>
      </c>
      <c r="BA67" s="59">
        <f t="shared" si="1902"/>
        <v>-44.199350083326898</v>
      </c>
      <c r="BB67" s="43">
        <f t="shared" si="1793"/>
        <v>-0.30865608019594798</v>
      </c>
      <c r="BC67" s="50">
        <v>75</v>
      </c>
      <c r="BD67" s="50">
        <f t="shared" si="1903"/>
        <v>30.800649916673098</v>
      </c>
      <c r="BG67" s="340"/>
    </row>
    <row r="68" ht="17" customHeight="1">
      <c r="A68" s="46">
        <v>39</v>
      </c>
      <c r="B68" s="82" t="s">
        <v>116</v>
      </c>
      <c r="C68" s="46" t="s">
        <v>78</v>
      </c>
      <c r="D68" s="46"/>
      <c r="E68" s="46"/>
      <c r="F68" s="46"/>
      <c r="G68" s="73">
        <v>9464</v>
      </c>
      <c r="H68" s="59">
        <f t="shared" si="1882"/>
        <v>5678.3999999999996</v>
      </c>
      <c r="I68" s="59">
        <f t="shared" si="1795"/>
        <v>5678.3999999999996</v>
      </c>
      <c r="J68" s="59">
        <f t="shared" si="1796"/>
        <v>0</v>
      </c>
      <c r="K68" s="59">
        <f t="shared" si="1797"/>
        <v>0</v>
      </c>
      <c r="L68" s="59">
        <f t="shared" si="1798"/>
        <v>0</v>
      </c>
      <c r="M68" s="59">
        <f t="shared" si="1799"/>
        <v>0</v>
      </c>
      <c r="N68" s="59">
        <v>956</v>
      </c>
      <c r="O68" s="59">
        <v>102</v>
      </c>
      <c r="P68" s="59">
        <f t="shared" si="1888"/>
        <v>0</v>
      </c>
      <c r="Q68" s="59"/>
      <c r="R68" s="59"/>
      <c r="S68" s="59"/>
      <c r="T68" s="59"/>
      <c r="U68" s="59">
        <v>280</v>
      </c>
      <c r="V68" s="59">
        <f t="shared" si="1889"/>
        <v>97.543644439995305</v>
      </c>
      <c r="W68" s="59">
        <v>12056.07</v>
      </c>
      <c r="X68" s="62">
        <f t="shared" si="1890"/>
        <v>0.58132295845422499</v>
      </c>
      <c r="Y68" s="62">
        <f t="shared" si="1891"/>
        <v>0.60573852270930195</v>
      </c>
      <c r="Z68" s="62">
        <f t="shared" si="1892"/>
        <v>0.12114770454186</v>
      </c>
      <c r="AA68" s="59">
        <f t="shared" si="1893"/>
        <v>9.5974356333691393</v>
      </c>
      <c r="AB68" s="59">
        <v>3636.0999999999999</v>
      </c>
      <c r="AC68" s="59">
        <f t="shared" si="1894"/>
        <v>45.874193638429098</v>
      </c>
      <c r="AD68" s="59"/>
      <c r="AE68" s="59"/>
      <c r="AF68" s="59">
        <v>8</v>
      </c>
      <c r="AG68" s="59">
        <f t="shared" si="1895"/>
        <v>4</v>
      </c>
      <c r="AH68" s="59">
        <f t="shared" si="1896"/>
        <v>6.7435924932975899</v>
      </c>
      <c r="AI68" s="59">
        <v>0.78114334470989799</v>
      </c>
      <c r="AJ68" s="59">
        <f t="shared" si="1897"/>
        <v>0.390571672354949</v>
      </c>
      <c r="AK68" s="59">
        <f t="shared" si="1898"/>
        <v>26.651401283135598</v>
      </c>
      <c r="AL68" s="338"/>
      <c r="AM68" s="59"/>
      <c r="AN68" s="59"/>
      <c r="AO68" s="62"/>
      <c r="AP68" s="62"/>
      <c r="AQ68" s="59"/>
      <c r="AR68" s="59"/>
      <c r="AS68" s="59"/>
      <c r="AT68" s="189">
        <f>VLOOKUP(B:B,综合进度!B:N,13,0)</f>
        <v>2.8884217679352002e-003</v>
      </c>
      <c r="AU68" s="59">
        <f t="shared" si="1899"/>
        <v>17.2553738732095</v>
      </c>
      <c r="AV68" s="59"/>
      <c r="AW68" s="59"/>
      <c r="AX68" s="59">
        <f t="shared" si="1900"/>
        <v>204</v>
      </c>
      <c r="AY68" s="59">
        <v>148</v>
      </c>
      <c r="AZ68" s="59">
        <f t="shared" si="1901"/>
        <v>138.51963276034201</v>
      </c>
      <c r="BA68" s="59">
        <f t="shared" si="1902"/>
        <v>65.480367239657596</v>
      </c>
      <c r="BB68" s="43">
        <f t="shared" si="1793"/>
        <v>0.47271542621649498</v>
      </c>
      <c r="BC68" s="50">
        <v>1490</v>
      </c>
      <c r="BD68" s="50">
        <f t="shared" si="1903"/>
        <v>1555.4803672396599</v>
      </c>
      <c r="BG68" s="340"/>
    </row>
    <row r="69" ht="17" customHeight="1">
      <c r="A69" s="46">
        <v>40</v>
      </c>
      <c r="B69" s="82" t="s">
        <v>117</v>
      </c>
      <c r="C69" s="46" t="s">
        <v>78</v>
      </c>
      <c r="D69" s="46"/>
      <c r="E69" s="46"/>
      <c r="F69" s="46"/>
      <c r="G69" s="73">
        <v>11773</v>
      </c>
      <c r="H69" s="59">
        <f t="shared" si="1882"/>
        <v>7063.8000000000002</v>
      </c>
      <c r="I69" s="59">
        <f t="shared" si="1795"/>
        <v>7063.8000000000002</v>
      </c>
      <c r="J69" s="59">
        <f t="shared" si="1796"/>
        <v>0</v>
      </c>
      <c r="K69" s="59">
        <f t="shared" si="1797"/>
        <v>0</v>
      </c>
      <c r="L69" s="59">
        <f t="shared" si="1798"/>
        <v>0</v>
      </c>
      <c r="M69" s="59">
        <f t="shared" si="1799"/>
        <v>0</v>
      </c>
      <c r="N69" s="59">
        <v>1081</v>
      </c>
      <c r="O69" s="59">
        <v>1238</v>
      </c>
      <c r="P69" s="59">
        <f t="shared" si="1888"/>
        <v>0</v>
      </c>
      <c r="Q69" s="59"/>
      <c r="R69" s="59"/>
      <c r="S69" s="59"/>
      <c r="T69" s="59"/>
      <c r="U69" s="59">
        <v>521</v>
      </c>
      <c r="V69" s="59">
        <f t="shared" si="1889"/>
        <v>124.678629855598</v>
      </c>
      <c r="W69" s="59">
        <v>14172.93</v>
      </c>
      <c r="X69" s="62">
        <f t="shared" si="1890"/>
        <v>0.239729741069095</v>
      </c>
      <c r="Y69" s="62">
        <f t="shared" si="1891"/>
        <v>0.30814860917021403</v>
      </c>
      <c r="Z69" s="62">
        <f t="shared" si="1892"/>
        <v>6.1629721834042799e-002</v>
      </c>
      <c r="AA69" s="59">
        <f t="shared" si="1893"/>
        <v>4.8823648012273599</v>
      </c>
      <c r="AB69" s="59">
        <v>215</v>
      </c>
      <c r="AC69" s="59">
        <f t="shared" si="1894"/>
        <v>2.7125083557279099</v>
      </c>
      <c r="AD69" s="59"/>
      <c r="AE69" s="59"/>
      <c r="AF69" s="59">
        <v>19</v>
      </c>
      <c r="AG69" s="59">
        <f t="shared" si="1895"/>
        <v>9.5</v>
      </c>
      <c r="AH69" s="59">
        <f t="shared" si="1896"/>
        <v>16.016032171581799</v>
      </c>
      <c r="AI69" s="59">
        <v>0.81467889908256896</v>
      </c>
      <c r="AJ69" s="59">
        <f t="shared" si="1897"/>
        <v>0.40733944954128398</v>
      </c>
      <c r="AK69" s="59">
        <f t="shared" si="1898"/>
        <v>27.795582466898299</v>
      </c>
      <c r="AL69" s="338"/>
      <c r="AM69" s="59"/>
      <c r="AN69" s="59"/>
      <c r="AO69" s="62"/>
      <c r="AP69" s="62"/>
      <c r="AQ69" s="59"/>
      <c r="AR69" s="59"/>
      <c r="AS69" s="59"/>
      <c r="AT69" s="189">
        <f>VLOOKUP(B:B,综合进度!B:N,13,0)</f>
        <v>2.63402837032582e-003</v>
      </c>
      <c r="AU69" s="59">
        <f t="shared" si="1899"/>
        <v>15.735632803759099</v>
      </c>
      <c r="AV69" s="59"/>
      <c r="AW69" s="59"/>
      <c r="AX69" s="59">
        <f t="shared" si="1900"/>
        <v>192</v>
      </c>
      <c r="AY69" s="59">
        <v>183</v>
      </c>
      <c r="AZ69" s="59">
        <f t="shared" si="1901"/>
        <v>171.27765402123401</v>
      </c>
      <c r="BA69" s="59">
        <f t="shared" si="1902"/>
        <v>20.722345978765802</v>
      </c>
      <c r="BB69" s="43">
        <f t="shared" si="1793"/>
        <v>0.120986862513873</v>
      </c>
      <c r="BC69" s="50">
        <v>759</v>
      </c>
      <c r="BD69" s="50">
        <f t="shared" si="1903"/>
        <v>779.72234597876604</v>
      </c>
      <c r="BG69" s="340"/>
    </row>
    <row r="70" ht="17" customHeight="1">
      <c r="A70" s="46">
        <v>41</v>
      </c>
      <c r="B70" s="82" t="s">
        <v>118</v>
      </c>
      <c r="C70" s="46" t="s">
        <v>78</v>
      </c>
      <c r="D70" s="46"/>
      <c r="E70" s="46"/>
      <c r="F70" s="46"/>
      <c r="G70" s="73">
        <v>10779</v>
      </c>
      <c r="H70" s="59">
        <f t="shared" si="1882"/>
        <v>6467.3999999999996</v>
      </c>
      <c r="I70" s="59">
        <f t="shared" si="1795"/>
        <v>6467.3999999999996</v>
      </c>
      <c r="J70" s="59">
        <f t="shared" si="1796"/>
        <v>0</v>
      </c>
      <c r="K70" s="59">
        <f t="shared" si="1797"/>
        <v>0</v>
      </c>
      <c r="L70" s="59">
        <f t="shared" si="1798"/>
        <v>0</v>
      </c>
      <c r="M70" s="59">
        <f t="shared" si="1799"/>
        <v>0</v>
      </c>
      <c r="N70" s="59">
        <v>1745</v>
      </c>
      <c r="O70" s="59">
        <v>308</v>
      </c>
      <c r="P70" s="59">
        <f t="shared" si="1888"/>
        <v>0</v>
      </c>
      <c r="Q70" s="59"/>
      <c r="R70" s="59"/>
      <c r="S70" s="59"/>
      <c r="T70" s="59"/>
      <c r="U70" s="59">
        <v>443</v>
      </c>
      <c r="V70" s="59">
        <f t="shared" si="1889"/>
        <v>150.16109225956001</v>
      </c>
      <c r="W70" s="59">
        <v>13821.809999999999</v>
      </c>
      <c r="X70" s="62">
        <f t="shared" si="1890"/>
        <v>0.29638923224388503</v>
      </c>
      <c r="Y70" s="62">
        <f t="shared" si="1891"/>
        <v>0.37119787446224201</v>
      </c>
      <c r="Z70" s="62">
        <f t="shared" si="1892"/>
        <v>7.4239574892448396e-002</v>
      </c>
      <c r="AA70" s="59">
        <f t="shared" si="1893"/>
        <v>5.8813292763030898</v>
      </c>
      <c r="AB70" s="59">
        <v>893</v>
      </c>
      <c r="AC70" s="59">
        <f t="shared" si="1894"/>
        <v>11.266371914721001</v>
      </c>
      <c r="AD70" s="59"/>
      <c r="AE70" s="59"/>
      <c r="AF70" s="59">
        <v>5</v>
      </c>
      <c r="AG70" s="59">
        <f t="shared" si="1895"/>
        <v>2.5</v>
      </c>
      <c r="AH70" s="59">
        <f t="shared" si="1896"/>
        <v>4.2147453083109898</v>
      </c>
      <c r="AI70" s="59">
        <v>0.124774774774775</v>
      </c>
      <c r="AJ70" s="59">
        <f t="shared" si="1897"/>
        <v>6.23873873873875e-002</v>
      </c>
      <c r="AK70" s="59">
        <f t="shared" si="1898"/>
        <v>4.2571220955231999</v>
      </c>
      <c r="AL70" s="338"/>
      <c r="AM70" s="59"/>
      <c r="AN70" s="59"/>
      <c r="AO70" s="62"/>
      <c r="AP70" s="62"/>
      <c r="AQ70" s="59"/>
      <c r="AR70" s="59"/>
      <c r="AS70" s="59"/>
      <c r="AT70" s="189">
        <f>VLOOKUP(B:B,综合进度!B:N,13,0)</f>
        <v>2.75886681194875e-003</v>
      </c>
      <c r="AU70" s="59">
        <f t="shared" si="1899"/>
        <v>16.4814151572456</v>
      </c>
      <c r="AV70" s="59"/>
      <c r="AW70" s="59"/>
      <c r="AX70" s="59">
        <f t="shared" si="1900"/>
        <v>192</v>
      </c>
      <c r="AY70" s="59">
        <v>202</v>
      </c>
      <c r="AZ70" s="59">
        <f t="shared" si="1901"/>
        <v>189.060579848575</v>
      </c>
      <c r="BA70" s="59">
        <f t="shared" si="1902"/>
        <v>2.9394201514245699</v>
      </c>
      <c r="BB70" s="43">
        <f t="shared" si="1793"/>
        <v>1.5547504158608e-002</v>
      </c>
      <c r="BC70" s="50">
        <v>522</v>
      </c>
      <c r="BD70" s="50">
        <f t="shared" si="1903"/>
        <v>524.939420151425</v>
      </c>
      <c r="BG70" s="340"/>
    </row>
    <row r="71" ht="17" customHeight="1">
      <c r="A71" s="46">
        <v>42</v>
      </c>
      <c r="B71" s="82" t="s">
        <v>119</v>
      </c>
      <c r="C71" s="46" t="s">
        <v>78</v>
      </c>
      <c r="D71" s="46"/>
      <c r="E71" s="46"/>
      <c r="F71" s="46"/>
      <c r="G71" s="73">
        <v>10233</v>
      </c>
      <c r="H71" s="59">
        <f t="shared" si="1882"/>
        <v>6139.8000000000002</v>
      </c>
      <c r="I71" s="59">
        <f t="shared" si="1795"/>
        <v>6139.8000000000002</v>
      </c>
      <c r="J71" s="59">
        <f t="shared" si="1796"/>
        <v>0</v>
      </c>
      <c r="K71" s="59">
        <f t="shared" si="1797"/>
        <v>0</v>
      </c>
      <c r="L71" s="59">
        <f t="shared" si="1798"/>
        <v>0</v>
      </c>
      <c r="M71" s="59">
        <f t="shared" si="1799"/>
        <v>0</v>
      </c>
      <c r="N71" s="59">
        <v>1932</v>
      </c>
      <c r="O71" s="59">
        <v>1042</v>
      </c>
      <c r="P71" s="59">
        <f t="shared" si="1888"/>
        <v>0</v>
      </c>
      <c r="Q71" s="59"/>
      <c r="R71" s="59"/>
      <c r="S71" s="59"/>
      <c r="T71" s="59"/>
      <c r="U71" s="59">
        <v>287</v>
      </c>
      <c r="V71" s="59">
        <f t="shared" si="1889"/>
        <v>149.54978172808799</v>
      </c>
      <c r="W71" s="59">
        <v>12832.049999999999</v>
      </c>
      <c r="X71" s="62">
        <f t="shared" si="1890"/>
        <v>0.45610470839209799</v>
      </c>
      <c r="Y71" s="62">
        <f t="shared" si="1891"/>
        <v>0.55485137775898796</v>
      </c>
      <c r="Z71" s="62">
        <f t="shared" si="1892"/>
        <v>0.110970275551798</v>
      </c>
      <c r="AA71" s="59">
        <f t="shared" si="1893"/>
        <v>8.7911700915274995</v>
      </c>
      <c r="AB71" s="59">
        <v>1668.7</v>
      </c>
      <c r="AC71" s="59">
        <f t="shared" si="1894"/>
        <v>21.052849735828701</v>
      </c>
      <c r="AD71" s="59"/>
      <c r="AE71" s="59"/>
      <c r="AF71" s="59">
        <v>25</v>
      </c>
      <c r="AG71" s="59">
        <f t="shared" si="1895"/>
        <v>12.5</v>
      </c>
      <c r="AH71" s="59">
        <f t="shared" si="1896"/>
        <v>21.073726541555001</v>
      </c>
      <c r="AI71" s="59">
        <v>0.91807044410413496</v>
      </c>
      <c r="AJ71" s="59">
        <f t="shared" si="1897"/>
        <v>0.45903522205206698</v>
      </c>
      <c r="AK71" s="59">
        <f t="shared" si="1898"/>
        <v>31.323141876210599</v>
      </c>
      <c r="AL71" s="338"/>
      <c r="AM71" s="59"/>
      <c r="AN71" s="59"/>
      <c r="AO71" s="62"/>
      <c r="AP71" s="62"/>
      <c r="AQ71" s="59"/>
      <c r="AR71" s="59"/>
      <c r="AS71" s="59"/>
      <c r="AT71" s="189">
        <f>VLOOKUP(B:B,综合进度!B:N,13,0)</f>
        <v>3.34812683483963e-003</v>
      </c>
      <c r="AU71" s="59">
        <f t="shared" si="1899"/>
        <v>20.001642748795302</v>
      </c>
      <c r="AV71" s="59"/>
      <c r="AW71" s="59"/>
      <c r="AX71" s="59">
        <f t="shared" si="1900"/>
        <v>252</v>
      </c>
      <c r="AY71" s="59">
        <v>194</v>
      </c>
      <c r="AZ71" s="59">
        <f t="shared" si="1901"/>
        <v>181.57303213180001</v>
      </c>
      <c r="BA71" s="59">
        <f t="shared" si="1902"/>
        <v>70.426967868199796</v>
      </c>
      <c r="BB71" s="43">
        <f t="shared" si="1793"/>
        <v>0.38787129917551999</v>
      </c>
      <c r="BC71" s="50">
        <v>870</v>
      </c>
      <c r="BD71" s="50">
        <f t="shared" si="1903"/>
        <v>940.42696786819999</v>
      </c>
      <c r="BG71" s="340"/>
    </row>
    <row r="72" ht="17" customHeight="1">
      <c r="A72" s="46">
        <v>43</v>
      </c>
      <c r="B72" s="82" t="s">
        <v>120</v>
      </c>
      <c r="C72" s="46" t="s">
        <v>78</v>
      </c>
      <c r="D72" s="46"/>
      <c r="E72" s="46"/>
      <c r="F72" s="46"/>
      <c r="G72" s="73">
        <v>22425</v>
      </c>
      <c r="H72" s="59">
        <f t="shared" si="1882"/>
        <v>13455</v>
      </c>
      <c r="I72" s="59">
        <f t="shared" si="1795"/>
        <v>13455</v>
      </c>
      <c r="J72" s="59">
        <f t="shared" si="1796"/>
        <v>0</v>
      </c>
      <c r="K72" s="59">
        <f t="shared" si="1797"/>
        <v>0</v>
      </c>
      <c r="L72" s="59">
        <f t="shared" si="1798"/>
        <v>0</v>
      </c>
      <c r="M72" s="59">
        <f t="shared" si="1799"/>
        <v>0</v>
      </c>
      <c r="N72" s="59">
        <v>3220</v>
      </c>
      <c r="O72" s="59">
        <v>1834</v>
      </c>
      <c r="P72" s="59">
        <f t="shared" si="1888"/>
        <v>0</v>
      </c>
      <c r="Q72" s="59"/>
      <c r="R72" s="59"/>
      <c r="S72" s="59"/>
      <c r="T72" s="59"/>
      <c r="U72" s="59">
        <v>424</v>
      </c>
      <c r="V72" s="59">
        <f t="shared" si="1889"/>
        <v>266.70196395544599</v>
      </c>
      <c r="W72" s="59">
        <v>12554.5</v>
      </c>
      <c r="X72" s="62">
        <f t="shared" si="1890"/>
        <v>0.50089236439449902</v>
      </c>
      <c r="Y72" s="62">
        <f t="shared" si="1891"/>
        <v>1.2845384684896901</v>
      </c>
      <c r="Z72" s="62">
        <f t="shared" si="1892"/>
        <v>0.25690769369793898</v>
      </c>
      <c r="AA72" s="59">
        <f t="shared" si="1893"/>
        <v>20.352470261880299</v>
      </c>
      <c r="AB72" s="59">
        <v>260.88</v>
      </c>
      <c r="AC72" s="59">
        <f t="shared" si="1894"/>
        <v>3.29134502252231</v>
      </c>
      <c r="AD72" s="59"/>
      <c r="AE72" s="59"/>
      <c r="AF72" s="59">
        <v>3</v>
      </c>
      <c r="AG72" s="59">
        <f t="shared" si="1895"/>
        <v>1.5</v>
      </c>
      <c r="AH72" s="59">
        <f t="shared" si="1896"/>
        <v>2.5288471849866001</v>
      </c>
      <c r="AI72" s="59">
        <v>0.45016797312430001</v>
      </c>
      <c r="AJ72" s="59">
        <f t="shared" si="1897"/>
        <v>0.22508398656215001</v>
      </c>
      <c r="AK72" s="59">
        <f t="shared" si="1898"/>
        <v>15.359034136055</v>
      </c>
      <c r="AL72" s="338"/>
      <c r="AM72" s="59"/>
      <c r="AN72" s="59"/>
      <c r="AO72" s="62"/>
      <c r="AP72" s="62"/>
      <c r="AQ72" s="59"/>
      <c r="AR72" s="59"/>
      <c r="AS72" s="59"/>
      <c r="AT72" s="189">
        <f>VLOOKUP(B:B,综合进度!B:N,13,0)</f>
        <v>2.7097896625491598e-003</v>
      </c>
      <c r="AU72" s="59">
        <f t="shared" si="1899"/>
        <v>16.188229248275402</v>
      </c>
      <c r="AV72" s="59"/>
      <c r="AW72" s="59"/>
      <c r="AX72" s="59">
        <f t="shared" si="1900"/>
        <v>324</v>
      </c>
      <c r="AY72" s="59">
        <v>254</v>
      </c>
      <c r="AZ72" s="59">
        <f t="shared" si="1901"/>
        <v>237.72964000761499</v>
      </c>
      <c r="BA72" s="59">
        <f t="shared" si="1902"/>
        <v>86.270359992385394</v>
      </c>
      <c r="BB72" s="43">
        <f t="shared" si="1793"/>
        <v>0.362892738110494</v>
      </c>
      <c r="BC72" s="50">
        <v>-894</v>
      </c>
      <c r="BD72" s="50">
        <f t="shared" si="1903"/>
        <v>-807.72964000761499</v>
      </c>
      <c r="BG72" s="340"/>
    </row>
    <row r="73" s="5" customFormat="1" ht="17" customHeight="1">
      <c r="A73" s="65"/>
      <c r="B73" s="66" t="s">
        <v>121</v>
      </c>
      <c r="C73" s="67">
        <v>1</v>
      </c>
      <c r="D73" s="67"/>
      <c r="E73" s="67"/>
      <c r="F73" s="68"/>
      <c r="G73" s="69">
        <f t="shared" ref="G73:U73" si="1904">G74+G75</f>
        <v>819007</v>
      </c>
      <c r="H73" s="69">
        <f t="shared" si="1904"/>
        <v>673466.59999999998</v>
      </c>
      <c r="I73" s="69">
        <f t="shared" si="1904"/>
        <v>118389.60000000001</v>
      </c>
      <c r="J73" s="69">
        <f t="shared" si="1904"/>
        <v>23216.200000000001</v>
      </c>
      <c r="K73" s="69">
        <f t="shared" si="1904"/>
        <v>38713.599999999999</v>
      </c>
      <c r="L73" s="69">
        <f t="shared" si="1904"/>
        <v>422872.20000000001</v>
      </c>
      <c r="M73" s="69">
        <f t="shared" si="1904"/>
        <v>70275</v>
      </c>
      <c r="N73" s="69">
        <f t="shared" si="1904"/>
        <v>77031</v>
      </c>
      <c r="O73" s="69">
        <f t="shared" si="1904"/>
        <v>75806</v>
      </c>
      <c r="P73" s="69">
        <f t="shared" si="1904"/>
        <v>5923.1999999999998</v>
      </c>
      <c r="Q73" s="59">
        <v>9872</v>
      </c>
      <c r="R73" s="69">
        <f>R74+R75</f>
        <v>0</v>
      </c>
      <c r="S73" s="69">
        <f>S74+S75</f>
        <v>0</v>
      </c>
      <c r="T73" s="69">
        <f>T74+T75</f>
        <v>0</v>
      </c>
      <c r="U73" s="69">
        <f>U74+U75</f>
        <v>11924</v>
      </c>
      <c r="V73" s="69">
        <f>V74+V75</f>
        <v>8811.5235679056805</v>
      </c>
      <c r="W73" s="69"/>
      <c r="X73" s="69">
        <f t="shared" ref="X73:AE73" si="1905">X74+X75</f>
        <v>9.0653184917912206</v>
      </c>
      <c r="Y73" s="69">
        <f t="shared" si="1905"/>
        <v>63.921692040851902</v>
      </c>
      <c r="Z73" s="69">
        <f t="shared" si="1905"/>
        <v>49.253447888065601</v>
      </c>
      <c r="AA73" s="69">
        <f t="shared" si="1905"/>
        <v>3901.9046841607701</v>
      </c>
      <c r="AB73" s="69">
        <f t="shared" si="1905"/>
        <v>69842.210000000006</v>
      </c>
      <c r="AC73" s="69">
        <f t="shared" si="1905"/>
        <v>881.15152654652695</v>
      </c>
      <c r="AD73" s="69"/>
      <c r="AE73" s="69"/>
      <c r="AF73" s="69">
        <f t="shared" ref="AF73:AS73" si="1906">AF74+AF75</f>
        <v>415</v>
      </c>
      <c r="AG73" s="69">
        <f t="shared" si="1906"/>
        <v>300</v>
      </c>
      <c r="AH73" s="69">
        <f t="shared" si="1906"/>
        <v>505.76943699731902</v>
      </c>
      <c r="AI73" s="69">
        <f t="shared" si="1906"/>
        <v>12.740524025349</v>
      </c>
      <c r="AJ73" s="69">
        <f t="shared" si="1906"/>
        <v>9.7935559326050008</v>
      </c>
      <c r="AK73" s="69">
        <f t="shared" si="1906"/>
        <v>668.28192524798305</v>
      </c>
      <c r="AL73" s="69"/>
      <c r="AM73" s="69"/>
      <c r="AN73" s="69">
        <f t="shared" si="1906"/>
        <v>7000</v>
      </c>
      <c r="AO73" s="69"/>
      <c r="AP73" s="69"/>
      <c r="AQ73" s="69">
        <f t="shared" si="1906"/>
        <v>0</v>
      </c>
      <c r="AR73" s="69"/>
      <c r="AS73" s="69">
        <f t="shared" ref="AS73:AU73" si="1907">AS74+AS75</f>
        <v>0</v>
      </c>
      <c r="AT73" s="403">
        <f t="shared" si="1907"/>
        <v>8.8912596146842895e-002</v>
      </c>
      <c r="AU73" s="69">
        <f t="shared" si="1907"/>
        <v>531.16207112931602</v>
      </c>
      <c r="AV73" s="69"/>
      <c r="AW73" s="71"/>
      <c r="AX73" s="69">
        <f>AX74+AX75</f>
        <v>22301</v>
      </c>
      <c r="AY73" s="69">
        <v>25969</v>
      </c>
      <c r="AZ73" s="69">
        <f t="shared" ref="AZ73:BD73" si="1908">AZ74+AZ75</f>
        <v>24305.5158321171</v>
      </c>
      <c r="BA73" s="69">
        <f t="shared" si="1908"/>
        <v>-2004.51583211711</v>
      </c>
      <c r="BB73" s="336">
        <f t="shared" si="1793"/>
        <v>-8.2471643307744799e-002</v>
      </c>
      <c r="BC73" s="404">
        <v>406</v>
      </c>
      <c r="BD73" s="69">
        <f t="shared" si="1908"/>
        <v>-1703.5158321171</v>
      </c>
      <c r="BG73" s="340"/>
    </row>
    <row r="74" s="5" customFormat="1" ht="17" customHeight="1">
      <c r="A74" s="44"/>
      <c r="B74" s="72" t="s">
        <v>122</v>
      </c>
      <c r="C74" s="46">
        <v>2</v>
      </c>
      <c r="D74" s="46"/>
      <c r="E74" s="46"/>
      <c r="F74" s="46"/>
      <c r="G74" s="73"/>
      <c r="H74" s="59">
        <f t="shared" ref="H74:H88" si="1909">SUM(I74:M74)</f>
        <v>0</v>
      </c>
      <c r="I74" s="59">
        <f t="shared" si="1795"/>
        <v>0</v>
      </c>
      <c r="J74" s="59">
        <f t="shared" si="1796"/>
        <v>0</v>
      </c>
      <c r="K74" s="59">
        <f t="shared" si="1797"/>
        <v>0</v>
      </c>
      <c r="L74" s="59">
        <f t="shared" si="1798"/>
        <v>0</v>
      </c>
      <c r="M74" s="59">
        <f t="shared" si="1799"/>
        <v>0</v>
      </c>
      <c r="N74" s="59"/>
      <c r="O74" s="59"/>
      <c r="P74" s="59">
        <f>L74*0.4+M74*0.6+N74*0.8+O74*1</f>
        <v>0</v>
      </c>
      <c r="Q74" s="59"/>
      <c r="R74" s="59"/>
      <c r="S74" s="59"/>
      <c r="T74" s="59"/>
      <c r="U74" s="59"/>
      <c r="V74" s="59">
        <f>H74/$H$9*134866+N74/$N$9*202299+P74/$P$9*100000+U74/$U$9*34867</f>
        <v>0</v>
      </c>
      <c r="W74" s="59"/>
      <c r="X74" s="62"/>
      <c r="Y74" s="62"/>
      <c r="Z74" s="62"/>
      <c r="AA74" s="59"/>
      <c r="AB74" s="59"/>
      <c r="AC74" s="59"/>
      <c r="AD74" s="59"/>
      <c r="AE74" s="59"/>
      <c r="AF74" s="59"/>
      <c r="AG74" s="59">
        <f>AF74</f>
        <v>0</v>
      </c>
      <c r="AH74" s="59">
        <f>AG74/$AG$9*40459.89</f>
        <v>0</v>
      </c>
      <c r="AI74" s="59"/>
      <c r="AJ74" s="59">
        <f>AI74</f>
        <v>0</v>
      </c>
      <c r="AK74" s="59">
        <f>AJ74/$AJ$9*40459.89</f>
        <v>0</v>
      </c>
      <c r="AL74" s="59"/>
      <c r="AM74" s="59"/>
      <c r="AN74" s="59"/>
      <c r="AO74" s="62"/>
      <c r="AP74" s="62"/>
      <c r="AQ74" s="59"/>
      <c r="AR74" s="59"/>
      <c r="AS74" s="59"/>
      <c r="AT74" s="189"/>
      <c r="AU74" s="59"/>
      <c r="AV74" s="59"/>
      <c r="AW74" s="59"/>
      <c r="AX74" s="59">
        <f>V74+AA74+AC74+AE74+AH74+AK74+AM74+AN74+AQ74+AS74+AU74+AW74</f>
        <v>0</v>
      </c>
      <c r="AY74" s="59"/>
      <c r="AZ74" s="170"/>
      <c r="BA74" s="50"/>
      <c r="BB74" s="43"/>
      <c r="BC74" s="50">
        <v>105</v>
      </c>
      <c r="BD74" s="50"/>
      <c r="BG74" s="340"/>
    </row>
    <row r="75" s="5" customFormat="1" ht="17" customHeight="1">
      <c r="A75" s="75"/>
      <c r="B75" s="76" t="s">
        <v>76</v>
      </c>
      <c r="C75" s="77">
        <v>3</v>
      </c>
      <c r="D75" s="77"/>
      <c r="E75" s="77"/>
      <c r="F75" s="78"/>
      <c r="G75" s="79">
        <f t="shared" ref="G75:U75" si="1910">SUM(G76:G88)</f>
        <v>819007</v>
      </c>
      <c r="H75" s="79">
        <f t="shared" si="1910"/>
        <v>673466.59999999998</v>
      </c>
      <c r="I75" s="79">
        <f t="shared" si="1910"/>
        <v>118389.60000000001</v>
      </c>
      <c r="J75" s="79">
        <f t="shared" si="1910"/>
        <v>23216.200000000001</v>
      </c>
      <c r="K75" s="79">
        <f t="shared" si="1910"/>
        <v>38713.599999999999</v>
      </c>
      <c r="L75" s="79">
        <f t="shared" si="1910"/>
        <v>422872.20000000001</v>
      </c>
      <c r="M75" s="79">
        <f t="shared" si="1910"/>
        <v>70275</v>
      </c>
      <c r="N75" s="79">
        <f t="shared" si="1910"/>
        <v>77031</v>
      </c>
      <c r="O75" s="79">
        <f t="shared" si="1910"/>
        <v>75806</v>
      </c>
      <c r="P75" s="79">
        <f t="shared" si="1910"/>
        <v>5923.1999999999998</v>
      </c>
      <c r="Q75" s="59">
        <v>9872</v>
      </c>
      <c r="R75" s="79">
        <f>SUM(R76:R88)</f>
        <v>0</v>
      </c>
      <c r="S75" s="79">
        <f>SUM(S76:S88)</f>
        <v>0</v>
      </c>
      <c r="T75" s="79">
        <f>SUM(T76:T88)</f>
        <v>0</v>
      </c>
      <c r="U75" s="79">
        <f>SUM(U76:U88)</f>
        <v>11924</v>
      </c>
      <c r="V75" s="79">
        <f>SUM(V76:V88)</f>
        <v>8811.5235679056805</v>
      </c>
      <c r="W75" s="79"/>
      <c r="X75" s="79">
        <f t="shared" ref="X75:AE75" si="1911">SUM(X76:X88)</f>
        <v>9.0653184917912206</v>
      </c>
      <c r="Y75" s="79">
        <f t="shared" si="1911"/>
        <v>63.921692040851902</v>
      </c>
      <c r="Z75" s="79">
        <f t="shared" si="1911"/>
        <v>49.253447888065601</v>
      </c>
      <c r="AA75" s="79">
        <f t="shared" si="1911"/>
        <v>3901.9046841607701</v>
      </c>
      <c r="AB75" s="79">
        <f t="shared" si="1911"/>
        <v>69842.210000000006</v>
      </c>
      <c r="AC75" s="79">
        <f t="shared" si="1911"/>
        <v>881.15152654652695</v>
      </c>
      <c r="AD75" s="79"/>
      <c r="AE75" s="79"/>
      <c r="AF75" s="79">
        <f t="shared" ref="AF75:AS75" si="1912">SUM(AF76:AF88)</f>
        <v>415</v>
      </c>
      <c r="AG75" s="79">
        <f t="shared" si="1912"/>
        <v>300</v>
      </c>
      <c r="AH75" s="79">
        <f t="shared" si="1912"/>
        <v>505.76943699731902</v>
      </c>
      <c r="AI75" s="79">
        <f t="shared" si="1912"/>
        <v>12.740524025349</v>
      </c>
      <c r="AJ75" s="79">
        <f t="shared" si="1912"/>
        <v>9.7935559326050008</v>
      </c>
      <c r="AK75" s="79">
        <f t="shared" si="1912"/>
        <v>668.28192524798305</v>
      </c>
      <c r="AL75" s="79"/>
      <c r="AM75" s="79"/>
      <c r="AN75" s="79">
        <f t="shared" si="1912"/>
        <v>7000</v>
      </c>
      <c r="AO75" s="79"/>
      <c r="AP75" s="79"/>
      <c r="AQ75" s="79">
        <f t="shared" si="1912"/>
        <v>0</v>
      </c>
      <c r="AR75" s="79"/>
      <c r="AS75" s="79">
        <f t="shared" ref="AS75:AU75" si="1913">SUM(AS76:AS88)</f>
        <v>0</v>
      </c>
      <c r="AT75" s="405">
        <f t="shared" si="1913"/>
        <v>8.8912596146842895e-002</v>
      </c>
      <c r="AU75" s="79">
        <f t="shared" si="1913"/>
        <v>531.16207112931602</v>
      </c>
      <c r="AV75" s="79"/>
      <c r="AW75" s="81"/>
      <c r="AX75" s="79">
        <f>SUM(AX76:AX88)</f>
        <v>22301</v>
      </c>
      <c r="AY75" s="79">
        <v>25969</v>
      </c>
      <c r="AZ75" s="79">
        <f>SUM(AZ76:AZ88)</f>
        <v>24305.5158321171</v>
      </c>
      <c r="BA75" s="79">
        <f>SUM(BA76:BA88)</f>
        <v>-2004.51583211711</v>
      </c>
      <c r="BB75" s="337">
        <f t="shared" si="1793"/>
        <v>-8.2471643307744799e-002</v>
      </c>
      <c r="BC75" s="406">
        <v>301</v>
      </c>
      <c r="BD75" s="79">
        <f>SUM(BD76:BD88)</f>
        <v>-1703.5158321171</v>
      </c>
      <c r="BG75" s="340"/>
    </row>
    <row r="76" ht="17" customHeight="1">
      <c r="A76" s="46">
        <v>44</v>
      </c>
      <c r="B76" s="82" t="s">
        <v>123</v>
      </c>
      <c r="C76" s="46" t="s">
        <v>78</v>
      </c>
      <c r="D76" s="46"/>
      <c r="E76" s="46"/>
      <c r="F76" s="46"/>
      <c r="G76" s="73">
        <v>11957</v>
      </c>
      <c r="H76" s="59">
        <f t="shared" si="1909"/>
        <v>7174.1999999999998</v>
      </c>
      <c r="I76" s="59">
        <f t="shared" si="1795"/>
        <v>7174.1999999999998</v>
      </c>
      <c r="J76" s="59">
        <f t="shared" si="1796"/>
        <v>0</v>
      </c>
      <c r="K76" s="59">
        <f t="shared" si="1797"/>
        <v>0</v>
      </c>
      <c r="L76" s="59">
        <f t="shared" si="1798"/>
        <v>0</v>
      </c>
      <c r="M76" s="59">
        <f t="shared" si="1799"/>
        <v>0</v>
      </c>
      <c r="N76" s="59">
        <v>1492</v>
      </c>
      <c r="O76" s="59">
        <v>2096</v>
      </c>
      <c r="P76" s="59">
        <f t="shared" ref="P76:P88" si="1914">Q76*0.6+R76*0.8+S76*1+T76*1.25</f>
        <v>611.39999999999998</v>
      </c>
      <c r="Q76" s="59">
        <v>1019</v>
      </c>
      <c r="R76" s="59"/>
      <c r="S76" s="59"/>
      <c r="T76" s="59"/>
      <c r="U76" s="59">
        <v>412</v>
      </c>
      <c r="V76" s="59">
        <f t="shared" ref="V76:V88" si="1915">H76/$H$9*298699*0.12+N76/$N$9*298699*0.15+P76/$P$9*298699*0.035+U76/$U$9*298699*0.025</f>
        <v>154.47438275527699</v>
      </c>
      <c r="W76" s="59">
        <v>10335.940000000001</v>
      </c>
      <c r="X76" s="62">
        <f t="shared" ref="X76:X88" si="1916">($W$64-W76)/($W$64-$W$44)</f>
        <v>0.85889669550848602</v>
      </c>
      <c r="Y76" s="62">
        <f t="shared" ref="Y76:Y88" si="1917">(G76+N76)*X76/10000</f>
        <v>1.15513016578936</v>
      </c>
      <c r="Z76" s="62">
        <f t="shared" ref="Z76:Z79" si="1918">Y76*0.2</f>
        <v>0.23102603315787301</v>
      </c>
      <c r="AA76" s="59">
        <f t="shared" ref="AA76:AA88" si="1919">Z76/$Z$9*298699*0.12</f>
        <v>18.302100656799102</v>
      </c>
      <c r="AB76" s="59">
        <v>1648.5</v>
      </c>
      <c r="AC76" s="59">
        <f t="shared" ref="AC76:AC88" si="1920">(AB76/$AB$9*298699*0.03)</f>
        <v>20.7980001135696</v>
      </c>
      <c r="AD76" s="59"/>
      <c r="AE76" s="59"/>
      <c r="AF76" s="59">
        <v>5</v>
      </c>
      <c r="AG76" s="59">
        <f t="shared" ref="AG76:AG79" si="1921">AF76*0.5</f>
        <v>2.5</v>
      </c>
      <c r="AH76" s="59">
        <f t="shared" ref="AH76:AH88" si="1922">AG76/$AG$9*298699*0.02</f>
        <v>4.2147453083109898</v>
      </c>
      <c r="AI76" s="59">
        <v>1</v>
      </c>
      <c r="AJ76" s="59">
        <f t="shared" ref="AJ76:AJ79" si="1923">AI76*0.5</f>
        <v>0.5</v>
      </c>
      <c r="AK76" s="59">
        <f t="shared" ref="AK76:AK88" si="1924">AJ76/$AJ$9*298699*0.02</f>
        <v>34.118451451485498</v>
      </c>
      <c r="AL76" s="338"/>
      <c r="AM76" s="59"/>
      <c r="AN76" s="59"/>
      <c r="AO76" s="62"/>
      <c r="AP76" s="62"/>
      <c r="AQ76" s="59"/>
      <c r="AR76" s="59"/>
      <c r="AS76" s="59"/>
      <c r="AT76" s="189">
        <f>VLOOKUP(B:B,综合进度!B:N,13,0)</f>
        <v>3.1333832206973601e-003</v>
      </c>
      <c r="AU76" s="59">
        <f t="shared" ref="AU76:AU88" si="1925">AT76/$AT$9*298699*0.02</f>
        <v>18.718768692781602</v>
      </c>
      <c r="AV76" s="59"/>
      <c r="AW76" s="59"/>
      <c r="AX76" s="59">
        <f t="shared" ref="AX76:AX88" si="1926">ROUND(V76+AA76+AC76+AN76+AQ76+AS76+AU76+AW76+AH76+AK76,0)</f>
        <v>251</v>
      </c>
      <c r="AY76" s="59">
        <v>207</v>
      </c>
      <c r="AZ76" s="59">
        <f t="shared" ref="AZ76:AZ88" si="1927">AY76/$AY$9*280243</f>
        <v>193.74029717156</v>
      </c>
      <c r="BA76" s="59">
        <f t="shared" ref="BA76:BA88" si="1928">AX76-AZ76</f>
        <v>57.259702828439998</v>
      </c>
      <c r="BB76" s="43">
        <f t="shared" si="1793"/>
        <v>0.29554875090201599</v>
      </c>
      <c r="BC76" s="50">
        <v>1063</v>
      </c>
      <c r="BD76" s="50">
        <f t="shared" ref="BD76:BD88" si="1929">BC76+BA76</f>
        <v>1120.2597028284399</v>
      </c>
      <c r="BG76" s="340"/>
    </row>
    <row r="77" ht="17" customHeight="1">
      <c r="A77" s="46">
        <v>45</v>
      </c>
      <c r="B77" s="82" t="s">
        <v>124</v>
      </c>
      <c r="C77" s="46" t="s">
        <v>78</v>
      </c>
      <c r="D77" s="46"/>
      <c r="E77" s="46"/>
      <c r="F77" s="46"/>
      <c r="G77" s="73">
        <v>22408</v>
      </c>
      <c r="H77" s="59">
        <f t="shared" si="1909"/>
        <v>13444.799999999999</v>
      </c>
      <c r="I77" s="59">
        <f t="shared" si="1795"/>
        <v>13444.799999999999</v>
      </c>
      <c r="J77" s="59">
        <f t="shared" si="1796"/>
        <v>0</v>
      </c>
      <c r="K77" s="59">
        <f t="shared" si="1797"/>
        <v>0</v>
      </c>
      <c r="L77" s="59">
        <f t="shared" si="1798"/>
        <v>0</v>
      </c>
      <c r="M77" s="59">
        <f t="shared" si="1799"/>
        <v>0</v>
      </c>
      <c r="N77" s="59">
        <v>1405</v>
      </c>
      <c r="O77" s="59">
        <v>1046</v>
      </c>
      <c r="P77" s="59">
        <f t="shared" si="1914"/>
        <v>0</v>
      </c>
      <c r="Q77" s="59"/>
      <c r="R77" s="59"/>
      <c r="S77" s="59"/>
      <c r="T77" s="59"/>
      <c r="U77" s="59">
        <v>663</v>
      </c>
      <c r="V77" s="59">
        <f t="shared" si="1915"/>
        <v>188.06710214718299</v>
      </c>
      <c r="W77" s="59">
        <v>11774.280000000001</v>
      </c>
      <c r="X77" s="62">
        <f t="shared" si="1916"/>
        <v>0.62679481428170303</v>
      </c>
      <c r="Y77" s="62">
        <f t="shared" si="1917"/>
        <v>1.4925864912490201</v>
      </c>
      <c r="Z77" s="62">
        <f t="shared" si="1918"/>
        <v>0.298517298249804</v>
      </c>
      <c r="AA77" s="59">
        <f t="shared" si="1919"/>
        <v>23.648822453832</v>
      </c>
      <c r="AB77" s="59">
        <v>918.38</v>
      </c>
      <c r="AC77" s="59">
        <f t="shared" si="1920"/>
        <v>11.5865740638763</v>
      </c>
      <c r="AD77" s="59"/>
      <c r="AE77" s="59"/>
      <c r="AF77" s="59">
        <v>19</v>
      </c>
      <c r="AG77" s="59">
        <f t="shared" si="1921"/>
        <v>9.5</v>
      </c>
      <c r="AH77" s="59">
        <f t="shared" si="1922"/>
        <v>16.016032171581799</v>
      </c>
      <c r="AI77" s="59">
        <v>0.99013848090641998</v>
      </c>
      <c r="AJ77" s="59">
        <f t="shared" si="1923"/>
        <v>0.49506924045320999</v>
      </c>
      <c r="AK77" s="59">
        <f t="shared" si="1924"/>
        <v>33.7819916910533</v>
      </c>
      <c r="AL77" s="338"/>
      <c r="AM77" s="59"/>
      <c r="AN77" s="59"/>
      <c r="AO77" s="62"/>
      <c r="AP77" s="62"/>
      <c r="AQ77" s="59"/>
      <c r="AR77" s="59"/>
      <c r="AS77" s="59"/>
      <c r="AT77" s="189">
        <f>VLOOKUP(B:B,综合进度!B:N,13,0)</f>
        <v>3.0622724304750302e-003</v>
      </c>
      <c r="AU77" s="59">
        <f t="shared" si="1925"/>
        <v>18.293954254209201</v>
      </c>
      <c r="AV77" s="59"/>
      <c r="AW77" s="59"/>
      <c r="AX77" s="59">
        <f t="shared" si="1926"/>
        <v>291</v>
      </c>
      <c r="AY77" s="59">
        <v>256</v>
      </c>
      <c r="AZ77" s="59">
        <f t="shared" si="1927"/>
        <v>239.601526936808</v>
      </c>
      <c r="BA77" s="59">
        <f t="shared" si="1928"/>
        <v>51.398473063191503</v>
      </c>
      <c r="BB77" s="43">
        <f t="shared" si="1793"/>
        <v>0.21451646707054201</v>
      </c>
      <c r="BC77" s="50">
        <v>934</v>
      </c>
      <c r="BD77" s="50">
        <f t="shared" si="1929"/>
        <v>985.398473063192</v>
      </c>
      <c r="BG77" s="340"/>
    </row>
    <row r="78" ht="17" customHeight="1">
      <c r="A78" s="46">
        <v>46</v>
      </c>
      <c r="B78" s="82" t="s">
        <v>125</v>
      </c>
      <c r="C78" s="46" t="s">
        <v>78</v>
      </c>
      <c r="D78" s="46"/>
      <c r="E78" s="46"/>
      <c r="F78" s="46"/>
      <c r="G78" s="73">
        <v>58704</v>
      </c>
      <c r="H78" s="59">
        <f t="shared" si="1909"/>
        <v>35222.400000000001</v>
      </c>
      <c r="I78" s="59">
        <f t="shared" si="1795"/>
        <v>35222.400000000001</v>
      </c>
      <c r="J78" s="59">
        <f t="shared" si="1796"/>
        <v>0</v>
      </c>
      <c r="K78" s="59">
        <f t="shared" si="1797"/>
        <v>0</v>
      </c>
      <c r="L78" s="59">
        <f t="shared" si="1798"/>
        <v>0</v>
      </c>
      <c r="M78" s="59">
        <f t="shared" si="1799"/>
        <v>0</v>
      </c>
      <c r="N78" s="59">
        <v>3357</v>
      </c>
      <c r="O78" s="59">
        <v>2836</v>
      </c>
      <c r="P78" s="59">
        <f t="shared" si="1914"/>
        <v>0</v>
      </c>
      <c r="Q78" s="59"/>
      <c r="R78" s="59"/>
      <c r="S78" s="59"/>
      <c r="T78" s="59"/>
      <c r="U78" s="59">
        <v>734</v>
      </c>
      <c r="V78" s="59">
        <f t="shared" si="1915"/>
        <v>425.73545680733798</v>
      </c>
      <c r="W78" s="59">
        <v>11660.549999999999</v>
      </c>
      <c r="X78" s="62">
        <f t="shared" si="1916"/>
        <v>0.64514718364633294</v>
      </c>
      <c r="Y78" s="62">
        <f t="shared" si="1917"/>
        <v>4.0038479364275101</v>
      </c>
      <c r="Z78" s="62">
        <f t="shared" si="1918"/>
        <v>0.80076958728550196</v>
      </c>
      <c r="AA78" s="59">
        <f t="shared" si="1919"/>
        <v>63.437723398850302</v>
      </c>
      <c r="AB78" s="59">
        <v>1617</v>
      </c>
      <c r="AC78" s="59">
        <f t="shared" si="1920"/>
        <v>20.4005860986606</v>
      </c>
      <c r="AD78" s="59"/>
      <c r="AE78" s="59"/>
      <c r="AF78" s="59">
        <v>44</v>
      </c>
      <c r="AG78" s="59">
        <f t="shared" si="1921"/>
        <v>22</v>
      </c>
      <c r="AH78" s="59">
        <f t="shared" si="1922"/>
        <v>37.089758713136703</v>
      </c>
      <c r="AI78" s="59">
        <v>1</v>
      </c>
      <c r="AJ78" s="59">
        <f t="shared" si="1923"/>
        <v>0.5</v>
      </c>
      <c r="AK78" s="59">
        <f t="shared" si="1924"/>
        <v>34.118451451485498</v>
      </c>
      <c r="AL78" s="338"/>
      <c r="AM78" s="59"/>
      <c r="AN78" s="59"/>
      <c r="AO78" s="62"/>
      <c r="AP78" s="62"/>
      <c r="AQ78" s="59"/>
      <c r="AR78" s="59"/>
      <c r="AS78" s="59"/>
      <c r="AT78" s="189">
        <f>VLOOKUP(B:B,综合进度!B:N,13,0)</f>
        <v>4.1704552346773904e-003</v>
      </c>
      <c r="AU78" s="59">
        <f t="shared" si="1925"/>
        <v>24.914216162858001</v>
      </c>
      <c r="AV78" s="59"/>
      <c r="AW78" s="59"/>
      <c r="AX78" s="59">
        <f t="shared" si="1926"/>
        <v>606</v>
      </c>
      <c r="AY78" s="59">
        <v>420</v>
      </c>
      <c r="AZ78" s="59">
        <f t="shared" si="1927"/>
        <v>393.09625513070102</v>
      </c>
      <c r="BA78" s="59">
        <f t="shared" si="1928"/>
        <v>212.903744869299</v>
      </c>
      <c r="BB78" s="43">
        <f t="shared" si="1793"/>
        <v>0.54160715623838696</v>
      </c>
      <c r="BC78" s="50">
        <v>1316</v>
      </c>
      <c r="BD78" s="50">
        <f t="shared" si="1929"/>
        <v>1528.9037448693</v>
      </c>
      <c r="BG78" s="340"/>
    </row>
    <row r="79" ht="17" customHeight="1">
      <c r="A79" s="46">
        <v>47</v>
      </c>
      <c r="B79" s="82" t="s">
        <v>127</v>
      </c>
      <c r="C79" s="46" t="s">
        <v>78</v>
      </c>
      <c r="D79" s="46"/>
      <c r="E79" s="46"/>
      <c r="F79" s="46"/>
      <c r="G79" s="73">
        <v>48521</v>
      </c>
      <c r="H79" s="59">
        <f t="shared" si="1909"/>
        <v>29112.599999999999</v>
      </c>
      <c r="I79" s="59">
        <f t="shared" si="1795"/>
        <v>29112.599999999999</v>
      </c>
      <c r="J79" s="59">
        <f t="shared" si="1796"/>
        <v>0</v>
      </c>
      <c r="K79" s="59">
        <f t="shared" si="1797"/>
        <v>0</v>
      </c>
      <c r="L79" s="59">
        <f t="shared" si="1798"/>
        <v>0</v>
      </c>
      <c r="M79" s="59">
        <f t="shared" si="1799"/>
        <v>0</v>
      </c>
      <c r="N79" s="59">
        <v>3812</v>
      </c>
      <c r="O79" s="59">
        <v>1464</v>
      </c>
      <c r="P79" s="59">
        <f t="shared" si="1914"/>
        <v>0</v>
      </c>
      <c r="Q79" s="59"/>
      <c r="R79" s="59"/>
      <c r="S79" s="59"/>
      <c r="T79" s="59"/>
      <c r="U79" s="59">
        <v>1220</v>
      </c>
      <c r="V79" s="59">
        <f t="shared" si="1915"/>
        <v>434.76351911702801</v>
      </c>
      <c r="W79" s="59">
        <v>11061.799999999999</v>
      </c>
      <c r="X79" s="62">
        <f t="shared" si="1916"/>
        <v>0.741766203755999</v>
      </c>
      <c r="Y79" s="62">
        <f t="shared" si="1917"/>
        <v>3.88188507411627</v>
      </c>
      <c r="Z79" s="62">
        <f t="shared" si="1918"/>
        <v>0.77637701482325405</v>
      </c>
      <c r="AA79" s="59">
        <f t="shared" si="1919"/>
        <v>61.505320758420297</v>
      </c>
      <c r="AB79" s="59">
        <v>2514.3000000000002</v>
      </c>
      <c r="AC79" s="59">
        <f t="shared" si="1920"/>
        <v>31.721208180496198</v>
      </c>
      <c r="AD79" s="59"/>
      <c r="AE79" s="59"/>
      <c r="AF79" s="59">
        <v>92</v>
      </c>
      <c r="AG79" s="59">
        <f t="shared" si="1921"/>
        <v>46</v>
      </c>
      <c r="AH79" s="59">
        <f t="shared" si="1922"/>
        <v>77.551313672922305</v>
      </c>
      <c r="AI79" s="59">
        <v>1</v>
      </c>
      <c r="AJ79" s="59">
        <f t="shared" si="1923"/>
        <v>0.5</v>
      </c>
      <c r="AK79" s="59">
        <f t="shared" si="1924"/>
        <v>34.118451451485498</v>
      </c>
      <c r="AL79" s="338"/>
      <c r="AM79" s="59"/>
      <c r="AN79" s="59"/>
      <c r="AO79" s="62"/>
      <c r="AP79" s="62"/>
      <c r="AQ79" s="59"/>
      <c r="AR79" s="59"/>
      <c r="AS79" s="59"/>
      <c r="AT79" s="189">
        <f>VLOOKUP(B:B,综合进度!B:N,13,0)</f>
        <v>2.3567534881043001e-003</v>
      </c>
      <c r="AU79" s="59">
        <f t="shared" si="1925"/>
        <v>14.0791982028653</v>
      </c>
      <c r="AV79" s="59"/>
      <c r="AW79" s="59"/>
      <c r="AX79" s="59">
        <f t="shared" si="1926"/>
        <v>654</v>
      </c>
      <c r="AY79" s="59">
        <v>402</v>
      </c>
      <c r="AZ79" s="59">
        <f t="shared" si="1927"/>
        <v>376.249272767957</v>
      </c>
      <c r="BA79" s="59">
        <f t="shared" si="1928"/>
        <v>277.750727232043</v>
      </c>
      <c r="BB79" s="43">
        <f t="shared" si="1793"/>
        <v>0.73820933975157299</v>
      </c>
      <c r="BC79" s="50">
        <v>1915</v>
      </c>
      <c r="BD79" s="50">
        <f t="shared" si="1929"/>
        <v>2192.7507272320399</v>
      </c>
      <c r="BG79" s="340"/>
    </row>
    <row r="80" ht="17" customHeight="1">
      <c r="A80" s="46">
        <v>48</v>
      </c>
      <c r="B80" s="82" t="s">
        <v>128</v>
      </c>
      <c r="C80" s="46" t="s">
        <v>90</v>
      </c>
      <c r="D80" s="46">
        <v>2017</v>
      </c>
      <c r="E80" s="46"/>
      <c r="F80" s="46"/>
      <c r="G80" s="73">
        <v>33166</v>
      </c>
      <c r="H80" s="59">
        <f t="shared" si="1909"/>
        <v>23216.200000000001</v>
      </c>
      <c r="I80" s="59">
        <f t="shared" si="1795"/>
        <v>0</v>
      </c>
      <c r="J80" s="59">
        <f t="shared" si="1796"/>
        <v>23216.200000000001</v>
      </c>
      <c r="K80" s="59">
        <f t="shared" si="1797"/>
        <v>0</v>
      </c>
      <c r="L80" s="59">
        <f t="shared" si="1798"/>
        <v>0</v>
      </c>
      <c r="M80" s="59">
        <f t="shared" si="1799"/>
        <v>0</v>
      </c>
      <c r="N80" s="59">
        <v>2207</v>
      </c>
      <c r="O80" s="59">
        <v>2719</v>
      </c>
      <c r="P80" s="59">
        <f t="shared" si="1914"/>
        <v>0</v>
      </c>
      <c r="Q80" s="59"/>
      <c r="R80" s="59"/>
      <c r="S80" s="59"/>
      <c r="T80" s="59"/>
      <c r="U80" s="59">
        <v>825</v>
      </c>
      <c r="V80" s="59">
        <f t="shared" si="1915"/>
        <v>297.60742802886199</v>
      </c>
      <c r="W80" s="59">
        <v>12729.27</v>
      </c>
      <c r="X80" s="62">
        <f t="shared" si="1916"/>
        <v>0.47269009943488999</v>
      </c>
      <c r="Y80" s="62">
        <f t="shared" si="1917"/>
        <v>1.6720466887310399</v>
      </c>
      <c r="Z80" s="62">
        <f>Y80*0.5</f>
        <v>0.83602334436551795</v>
      </c>
      <c r="AA80" s="59">
        <f t="shared" si="1919"/>
        <v>66.230559348069406</v>
      </c>
      <c r="AB80" s="59">
        <v>2510.4771999999998</v>
      </c>
      <c r="AC80" s="59">
        <f t="shared" si="1920"/>
        <v>31.672978520299601</v>
      </c>
      <c r="AD80" s="59"/>
      <c r="AE80" s="59"/>
      <c r="AF80" s="59">
        <v>4</v>
      </c>
      <c r="AG80" s="59">
        <f>AF80</f>
        <v>4</v>
      </c>
      <c r="AH80" s="59">
        <f t="shared" si="1922"/>
        <v>6.7435924932975899</v>
      </c>
      <c r="AI80" s="59">
        <v>1</v>
      </c>
      <c r="AJ80" s="59">
        <f>AI80</f>
        <v>1</v>
      </c>
      <c r="AK80" s="59">
        <f t="shared" si="1924"/>
        <v>68.236902902970996</v>
      </c>
      <c r="AL80" s="338"/>
      <c r="AM80" s="59"/>
      <c r="AN80" s="59"/>
      <c r="AO80" s="62"/>
      <c r="AP80" s="62"/>
      <c r="AQ80" s="59"/>
      <c r="AR80" s="59"/>
      <c r="AS80" s="59"/>
      <c r="AT80" s="189">
        <f>VLOOKUP(B:B,综合进度!B:N,13,0)</f>
        <v>3.24055323985558e-003</v>
      </c>
      <c r="AU80" s="59">
        <f t="shared" si="1925"/>
        <v>19.359000243832401</v>
      </c>
      <c r="AV80" s="59"/>
      <c r="AW80" s="59"/>
      <c r="AX80" s="59">
        <f t="shared" si="1926"/>
        <v>490</v>
      </c>
      <c r="AY80" s="59">
        <v>378</v>
      </c>
      <c r="AZ80" s="59">
        <f t="shared" si="1927"/>
        <v>353.78662961763098</v>
      </c>
      <c r="BA80" s="59">
        <f t="shared" si="1928"/>
        <v>136.21337038236899</v>
      </c>
      <c r="BB80" s="43">
        <f t="shared" si="1793"/>
        <v>0.38501559691384202</v>
      </c>
      <c r="BC80" s="50">
        <v>1536</v>
      </c>
      <c r="BD80" s="50">
        <f t="shared" si="1929"/>
        <v>1672.2133703823699</v>
      </c>
      <c r="BG80" s="340"/>
    </row>
    <row r="81" ht="17" customHeight="1">
      <c r="A81" s="46">
        <v>49</v>
      </c>
      <c r="B81" s="82" t="s">
        <v>129</v>
      </c>
      <c r="C81" s="46" t="s">
        <v>78</v>
      </c>
      <c r="D81" s="46"/>
      <c r="E81" s="46"/>
      <c r="F81" s="46"/>
      <c r="G81" s="73">
        <v>42543</v>
      </c>
      <c r="H81" s="59">
        <f t="shared" si="1909"/>
        <v>25525.799999999999</v>
      </c>
      <c r="I81" s="59">
        <f t="shared" si="1795"/>
        <v>25525.799999999999</v>
      </c>
      <c r="J81" s="59">
        <f t="shared" si="1796"/>
        <v>0</v>
      </c>
      <c r="K81" s="59">
        <f t="shared" si="1797"/>
        <v>0</v>
      </c>
      <c r="L81" s="59">
        <f t="shared" si="1798"/>
        <v>0</v>
      </c>
      <c r="M81" s="59">
        <f t="shared" si="1799"/>
        <v>0</v>
      </c>
      <c r="N81" s="59">
        <v>5469</v>
      </c>
      <c r="O81" s="59">
        <v>2092</v>
      </c>
      <c r="P81" s="59">
        <f t="shared" si="1914"/>
        <v>546.60000000000002</v>
      </c>
      <c r="Q81" s="59">
        <v>911</v>
      </c>
      <c r="R81" s="59"/>
      <c r="S81" s="59"/>
      <c r="T81" s="59"/>
      <c r="U81" s="59">
        <v>1055</v>
      </c>
      <c r="V81" s="59">
        <f t="shared" si="1915"/>
        <v>499.29404554767802</v>
      </c>
      <c r="W81" s="59">
        <v>11208.040000000001</v>
      </c>
      <c r="X81" s="62">
        <f t="shared" si="1916"/>
        <v>0.71816776450616604</v>
      </c>
      <c r="Y81" s="62">
        <f t="shared" si="1917"/>
        <v>3.4480670709469998</v>
      </c>
      <c r="Z81" s="62">
        <f>Y81*0.2</f>
        <v>0.68961341418940103</v>
      </c>
      <c r="AA81" s="59">
        <f t="shared" si="1919"/>
        <v>54.631826328197498</v>
      </c>
      <c r="AB81" s="59">
        <v>3855.0500000000002</v>
      </c>
      <c r="AC81" s="59">
        <f t="shared" si="1920"/>
        <v>48.6365364499948</v>
      </c>
      <c r="AD81" s="59"/>
      <c r="AE81" s="59"/>
      <c r="AF81" s="59">
        <v>56</v>
      </c>
      <c r="AG81" s="59">
        <f>AF81*0.5</f>
        <v>28</v>
      </c>
      <c r="AH81" s="59">
        <f t="shared" si="1922"/>
        <v>47.2051474530831</v>
      </c>
      <c r="AI81" s="59">
        <v>0.90379770458150599</v>
      </c>
      <c r="AJ81" s="59">
        <f>AI81*0.5</f>
        <v>0.45189885229075299</v>
      </c>
      <c r="AK81" s="59">
        <f t="shared" si="1924"/>
        <v>30.836178105728099</v>
      </c>
      <c r="AL81" s="338"/>
      <c r="AM81" s="59"/>
      <c r="AN81" s="59"/>
      <c r="AO81" s="62"/>
      <c r="AP81" s="62"/>
      <c r="AQ81" s="59"/>
      <c r="AR81" s="59"/>
      <c r="AS81" s="59"/>
      <c r="AT81" s="189">
        <f>VLOOKUP(B:B,综合进度!B:N,13,0)</f>
        <v>3.6023700779993298e-003</v>
      </c>
      <c r="AU81" s="59">
        <f t="shared" si="1925"/>
        <v>21.520486798566399</v>
      </c>
      <c r="AV81" s="59"/>
      <c r="AW81" s="59"/>
      <c r="AX81" s="59">
        <f t="shared" si="1926"/>
        <v>702</v>
      </c>
      <c r="AY81" s="59">
        <v>466</v>
      </c>
      <c r="AZ81" s="59">
        <f t="shared" si="1927"/>
        <v>436.14965450215902</v>
      </c>
      <c r="BA81" s="59">
        <f t="shared" si="1928"/>
        <v>265.85034549784098</v>
      </c>
      <c r="BB81" s="43">
        <f t="shared" si="1793"/>
        <v>0.60953927798313701</v>
      </c>
      <c r="BC81" s="50">
        <v>2146</v>
      </c>
      <c r="BD81" s="50">
        <f t="shared" si="1929"/>
        <v>2411.85034549784</v>
      </c>
      <c r="BG81" s="340"/>
    </row>
    <row r="82" ht="17" customHeight="1">
      <c r="A82" s="46">
        <v>50</v>
      </c>
      <c r="B82" s="82" t="s">
        <v>130</v>
      </c>
      <c r="C82" s="46" t="s">
        <v>90</v>
      </c>
      <c r="D82" s="46">
        <v>2018</v>
      </c>
      <c r="E82" s="46"/>
      <c r="F82" s="46"/>
      <c r="G82" s="73">
        <v>48392</v>
      </c>
      <c r="H82" s="59">
        <f t="shared" si="1909"/>
        <v>38713.599999999999</v>
      </c>
      <c r="I82" s="59">
        <f t="shared" si="1795"/>
        <v>0</v>
      </c>
      <c r="J82" s="59">
        <f t="shared" si="1796"/>
        <v>0</v>
      </c>
      <c r="K82" s="59">
        <f t="shared" si="1797"/>
        <v>38713.599999999999</v>
      </c>
      <c r="L82" s="59">
        <f t="shared" si="1798"/>
        <v>0</v>
      </c>
      <c r="M82" s="59">
        <f t="shared" si="1799"/>
        <v>0</v>
      </c>
      <c r="N82" s="59">
        <v>5957</v>
      </c>
      <c r="O82" s="59">
        <v>2929</v>
      </c>
      <c r="P82" s="59">
        <f t="shared" si="1914"/>
        <v>0</v>
      </c>
      <c r="Q82" s="59"/>
      <c r="R82" s="59"/>
      <c r="S82" s="59"/>
      <c r="T82" s="59"/>
      <c r="U82" s="59">
        <v>0</v>
      </c>
      <c r="V82" s="59">
        <f t="shared" si="1915"/>
        <v>540.34992112839598</v>
      </c>
      <c r="W82" s="59">
        <v>11556.799999999999</v>
      </c>
      <c r="X82" s="62">
        <f t="shared" si="1916"/>
        <v>0.66188910153589997</v>
      </c>
      <c r="Y82" s="62">
        <f t="shared" si="1917"/>
        <v>3.5973010779374599</v>
      </c>
      <c r="Z82" s="62">
        <f>Y82*0.5</f>
        <v>1.79865053896873</v>
      </c>
      <c r="AA82" s="59">
        <f t="shared" si="1919"/>
        <v>142.49079534736401</v>
      </c>
      <c r="AB82" s="59">
        <v>5715.8000000000002</v>
      </c>
      <c r="AC82" s="59">
        <f t="shared" si="1920"/>
        <v>72.112350044974804</v>
      </c>
      <c r="AD82" s="59"/>
      <c r="AE82" s="59"/>
      <c r="AF82" s="59">
        <v>43</v>
      </c>
      <c r="AG82" s="59">
        <f t="shared" ref="AG82:AG83" si="1930">AF82</f>
        <v>43</v>
      </c>
      <c r="AH82" s="59">
        <f t="shared" si="1922"/>
        <v>72.493619302949099</v>
      </c>
      <c r="AI82" s="59">
        <v>1</v>
      </c>
      <c r="AJ82" s="59">
        <f t="shared" ref="AJ82:AJ83" si="1931">AI82</f>
        <v>1</v>
      </c>
      <c r="AK82" s="59">
        <f t="shared" si="1924"/>
        <v>68.236902902970996</v>
      </c>
      <c r="AL82" s="338"/>
      <c r="AM82" s="59"/>
      <c r="AN82" s="59"/>
      <c r="AO82" s="62"/>
      <c r="AP82" s="62"/>
      <c r="AQ82" s="59"/>
      <c r="AR82" s="59"/>
      <c r="AS82" s="59"/>
      <c r="AT82" s="189">
        <f>VLOOKUP(B:B,综合进度!B:N,13,0)</f>
        <v>2.1386795094363998e-003</v>
      </c>
      <c r="AU82" s="59">
        <f t="shared" si="1925"/>
        <v>12.776428615782899</v>
      </c>
      <c r="AV82" s="59"/>
      <c r="AW82" s="59"/>
      <c r="AX82" s="59">
        <f t="shared" si="1926"/>
        <v>908</v>
      </c>
      <c r="AY82" s="59">
        <v>749</v>
      </c>
      <c r="AZ82" s="59">
        <f t="shared" si="1927"/>
        <v>701.02165498308398</v>
      </c>
      <c r="BA82" s="59">
        <f t="shared" si="1928"/>
        <v>206.97834501691599</v>
      </c>
      <c r="BB82" s="43">
        <f t="shared" si="1793"/>
        <v>0.29525242700513998</v>
      </c>
      <c r="BC82" s="50">
        <v>2688</v>
      </c>
      <c r="BD82" s="50">
        <f t="shared" si="1929"/>
        <v>2894.9783450169198</v>
      </c>
      <c r="BG82" s="340"/>
    </row>
    <row r="83" ht="17" customHeight="1">
      <c r="A83" s="46">
        <v>51</v>
      </c>
      <c r="B83" s="82" t="s">
        <v>126</v>
      </c>
      <c r="C83" s="46" t="s">
        <v>90</v>
      </c>
      <c r="D83" s="46">
        <v>2020</v>
      </c>
      <c r="E83" s="46" t="s">
        <v>91</v>
      </c>
      <c r="F83" s="46"/>
      <c r="G83" s="73">
        <v>70275</v>
      </c>
      <c r="H83" s="59">
        <f t="shared" si="1909"/>
        <v>70275</v>
      </c>
      <c r="I83" s="59">
        <f t="shared" si="1795"/>
        <v>0</v>
      </c>
      <c r="J83" s="59">
        <f t="shared" si="1796"/>
        <v>0</v>
      </c>
      <c r="K83" s="59">
        <f t="shared" si="1797"/>
        <v>0</v>
      </c>
      <c r="L83" s="59">
        <f t="shared" si="1798"/>
        <v>0</v>
      </c>
      <c r="M83" s="59">
        <f t="shared" si="1799"/>
        <v>70275</v>
      </c>
      <c r="N83" s="59">
        <v>3982</v>
      </c>
      <c r="O83" s="59">
        <v>10471</v>
      </c>
      <c r="P83" s="59">
        <f t="shared" si="1914"/>
        <v>2007.5999999999999</v>
      </c>
      <c r="Q83" s="59">
        <v>3346</v>
      </c>
      <c r="R83" s="59"/>
      <c r="S83" s="59"/>
      <c r="T83" s="59"/>
      <c r="U83" s="59">
        <v>52</v>
      </c>
      <c r="V83" s="59">
        <f t="shared" si="1915"/>
        <v>688.48937676511196</v>
      </c>
      <c r="W83" s="59">
        <v>11381.030000000001</v>
      </c>
      <c r="X83" s="62">
        <f t="shared" si="1916"/>
        <v>0.69025273437878198</v>
      </c>
      <c r="Y83" s="62">
        <f t="shared" si="1917"/>
        <v>5.12560972967652</v>
      </c>
      <c r="Z83" s="62">
        <f t="shared" ref="Z83:Z88" si="1932">Y83*1</f>
        <v>5.12560972967652</v>
      </c>
      <c r="AA83" s="59">
        <f t="shared" si="1919"/>
        <v>406.05564627387002</v>
      </c>
      <c r="AB83" s="59">
        <v>3088.6799999999998</v>
      </c>
      <c r="AC83" s="59">
        <f t="shared" si="1920"/>
        <v>38.967768875207803</v>
      </c>
      <c r="AD83" s="59"/>
      <c r="AE83" s="59"/>
      <c r="AF83" s="59">
        <v>15</v>
      </c>
      <c r="AG83" s="59">
        <f t="shared" si="1930"/>
        <v>15</v>
      </c>
      <c r="AH83" s="59">
        <f t="shared" si="1922"/>
        <v>25.2884718498659</v>
      </c>
      <c r="AI83" s="59">
        <v>1</v>
      </c>
      <c r="AJ83" s="59">
        <f t="shared" si="1931"/>
        <v>1</v>
      </c>
      <c r="AK83" s="59">
        <f t="shared" si="1924"/>
        <v>68.236902902970996</v>
      </c>
      <c r="AL83" s="338"/>
      <c r="AM83" s="59"/>
      <c r="AN83" s="59">
        <v>3000</v>
      </c>
      <c r="AO83" s="62"/>
      <c r="AP83" s="62"/>
      <c r="AQ83" s="59"/>
      <c r="AR83" s="59"/>
      <c r="AS83" s="59"/>
      <c r="AT83" s="189">
        <f>VLOOKUP(B:B,综合进度!B:N,13,0)</f>
        <v>1.06414201257975e-002</v>
      </c>
      <c r="AU83" s="59">
        <f t="shared" si="1925"/>
        <v>63.571631003111797</v>
      </c>
      <c r="AV83" s="59"/>
      <c r="AW83" s="59"/>
      <c r="AX83" s="59">
        <f t="shared" si="1926"/>
        <v>4291</v>
      </c>
      <c r="AY83" s="59">
        <v>5433</v>
      </c>
      <c r="AZ83" s="59">
        <f t="shared" si="1927"/>
        <v>5084.980843155</v>
      </c>
      <c r="BA83" s="59">
        <f t="shared" si="1928"/>
        <v>-793.98084315500103</v>
      </c>
      <c r="BB83" s="43">
        <f t="shared" si="1793"/>
        <v>-0.156142346971434</v>
      </c>
      <c r="BC83" s="50">
        <v>-7471</v>
      </c>
      <c r="BD83" s="50">
        <f t="shared" si="1929"/>
        <v>-8264.9808431549991</v>
      </c>
      <c r="BG83" s="340"/>
    </row>
    <row r="84" ht="17" customHeight="1">
      <c r="A84" s="46">
        <v>52</v>
      </c>
      <c r="B84" s="82" t="s">
        <v>135</v>
      </c>
      <c r="C84" s="46" t="s">
        <v>78</v>
      </c>
      <c r="D84" s="46"/>
      <c r="E84" s="46"/>
      <c r="F84" s="46" t="s">
        <v>146</v>
      </c>
      <c r="G84" s="73">
        <v>13183</v>
      </c>
      <c r="H84" s="59">
        <f t="shared" si="1909"/>
        <v>7909.8000000000002</v>
      </c>
      <c r="I84" s="59">
        <f t="shared" si="1795"/>
        <v>7909.8000000000002</v>
      </c>
      <c r="J84" s="59">
        <f t="shared" si="1796"/>
        <v>0</v>
      </c>
      <c r="K84" s="59">
        <f t="shared" si="1797"/>
        <v>0</v>
      </c>
      <c r="L84" s="59">
        <f t="shared" si="1798"/>
        <v>0</v>
      </c>
      <c r="M84" s="59">
        <f t="shared" si="1799"/>
        <v>0</v>
      </c>
      <c r="N84" s="59">
        <v>1522</v>
      </c>
      <c r="O84" s="59">
        <v>3775</v>
      </c>
      <c r="P84" s="59">
        <f t="shared" si="1914"/>
        <v>0</v>
      </c>
      <c r="Q84" s="59"/>
      <c r="R84" s="59"/>
      <c r="S84" s="59"/>
      <c r="T84" s="59"/>
      <c r="U84" s="59">
        <v>24</v>
      </c>
      <c r="V84" s="59">
        <f t="shared" si="1915"/>
        <v>126.848847939243</v>
      </c>
      <c r="W84" s="59">
        <v>11189.58</v>
      </c>
      <c r="X84" s="62">
        <f t="shared" si="1916"/>
        <v>0.72114661563138405</v>
      </c>
      <c r="Y84" s="62">
        <f t="shared" si="1917"/>
        <v>1.06044609828595</v>
      </c>
      <c r="Z84" s="62">
        <f>Y84*0.2</f>
        <v>0.21208921965718999</v>
      </c>
      <c r="AA84" s="59">
        <f t="shared" si="1919"/>
        <v>16.8019083967706</v>
      </c>
      <c r="AB84" s="59">
        <v>940.5</v>
      </c>
      <c r="AC84" s="59">
        <f t="shared" si="1920"/>
        <v>11.8656470165679</v>
      </c>
      <c r="AD84" s="59"/>
      <c r="AE84" s="59"/>
      <c r="AF84" s="59">
        <v>14</v>
      </c>
      <c r="AG84" s="59">
        <f>AF84*0.5</f>
        <v>7</v>
      </c>
      <c r="AH84" s="59">
        <f t="shared" si="1922"/>
        <v>11.8012868632708</v>
      </c>
      <c r="AI84" s="59">
        <v>1</v>
      </c>
      <c r="AJ84" s="59">
        <f>AI84*0.5</f>
        <v>0.5</v>
      </c>
      <c r="AK84" s="59">
        <f t="shared" si="1924"/>
        <v>34.118451451485498</v>
      </c>
      <c r="AL84" s="338"/>
      <c r="AM84" s="59"/>
      <c r="AN84" s="59"/>
      <c r="AO84" s="62"/>
      <c r="AP84" s="62"/>
      <c r="AQ84" s="59"/>
      <c r="AR84" s="59"/>
      <c r="AS84" s="59"/>
      <c r="AT84" s="189">
        <f>VLOOKUP(B:B,综合进度!B:N,13,0)</f>
        <v>6.8265623225401703e-003</v>
      </c>
      <c r="AU84" s="59">
        <f t="shared" si="1925"/>
        <v>40.781746783608497</v>
      </c>
      <c r="AV84" s="59"/>
      <c r="AW84" s="59"/>
      <c r="AX84" s="59">
        <f t="shared" si="1926"/>
        <v>242</v>
      </c>
      <c r="AY84" s="59">
        <v>2182</v>
      </c>
      <c r="AZ84" s="59">
        <f t="shared" si="1927"/>
        <v>2042.2286397504499</v>
      </c>
      <c r="BA84" s="59">
        <f t="shared" si="1928"/>
        <v>-1800.2286397504499</v>
      </c>
      <c r="BB84" s="43">
        <f t="shared" ref="BB84:BB100" si="1933">BA84/AZ84</f>
        <v>-0.88150200457987404</v>
      </c>
      <c r="BC84" s="50">
        <v>-4776</v>
      </c>
      <c r="BD84" s="50">
        <f t="shared" si="1929"/>
        <v>-6576.2286397504504</v>
      </c>
      <c r="BG84" s="340"/>
    </row>
    <row r="85" ht="17" customHeight="1">
      <c r="A85" s="46">
        <v>53</v>
      </c>
      <c r="B85" s="82" t="s">
        <v>133</v>
      </c>
      <c r="C85" s="46" t="s">
        <v>93</v>
      </c>
      <c r="D85" s="46">
        <v>2019</v>
      </c>
      <c r="E85" s="46" t="s">
        <v>94</v>
      </c>
      <c r="F85" s="46" t="s">
        <v>146</v>
      </c>
      <c r="G85" s="73">
        <v>111848</v>
      </c>
      <c r="H85" s="59">
        <f t="shared" si="1909"/>
        <v>100663.2</v>
      </c>
      <c r="I85" s="59">
        <f t="shared" ref="I85:I117" si="1934">IF(D85="",G85*0.6,0)</f>
        <v>0</v>
      </c>
      <c r="J85" s="59">
        <f t="shared" ref="J85:J117" si="1935">IF(D85=2017,G85*0.7,0)</f>
        <v>0</v>
      </c>
      <c r="K85" s="59">
        <f t="shared" ref="K85:K117" si="1936">IF(D85=2018,G85*0.8,0)</f>
        <v>0</v>
      </c>
      <c r="L85" s="59">
        <f t="shared" ref="L85:L117" si="1937">IF(D85=2019,G85*0.9,0)</f>
        <v>100663.2</v>
      </c>
      <c r="M85" s="59">
        <f t="shared" ref="M85:M117" si="1938">IF(D85=2020,G85*1,0)</f>
        <v>0</v>
      </c>
      <c r="N85" s="59">
        <v>13742</v>
      </c>
      <c r="O85" s="59">
        <v>12127</v>
      </c>
      <c r="P85" s="59">
        <f t="shared" si="1914"/>
        <v>0</v>
      </c>
      <c r="Q85" s="59"/>
      <c r="R85" s="59"/>
      <c r="S85" s="59"/>
      <c r="T85" s="59"/>
      <c r="U85" s="59">
        <v>1600</v>
      </c>
      <c r="V85" s="59">
        <f t="shared" si="1915"/>
        <v>1398.74008453171</v>
      </c>
      <c r="W85" s="59">
        <v>11857.92</v>
      </c>
      <c r="X85" s="62">
        <f t="shared" si="1916"/>
        <v>0.61329800452475602</v>
      </c>
      <c r="Y85" s="62">
        <f t="shared" si="1917"/>
        <v>7.7024096388264098</v>
      </c>
      <c r="Z85" s="62">
        <f t="shared" si="1932"/>
        <v>7.7024096388264098</v>
      </c>
      <c r="AA85" s="59">
        <f t="shared" si="1919"/>
        <v>610.19217004590905</v>
      </c>
      <c r="AB85" s="59">
        <v>7685.3100000000004</v>
      </c>
      <c r="AC85" s="59">
        <f t="shared" si="1920"/>
        <v>96.960314378415106</v>
      </c>
      <c r="AD85" s="59"/>
      <c r="AE85" s="59"/>
      <c r="AF85" s="59">
        <v>42</v>
      </c>
      <c r="AG85" s="59">
        <f t="shared" ref="AG85:AG117" si="1939">AF85</f>
        <v>42</v>
      </c>
      <c r="AH85" s="59">
        <f t="shared" si="1922"/>
        <v>70.807721179624707</v>
      </c>
      <c r="AI85" s="59">
        <v>0.95769451504468295</v>
      </c>
      <c r="AJ85" s="59">
        <f t="shared" ref="AJ85:AJ117" si="1940">AI85</f>
        <v>0.95769451504468295</v>
      </c>
      <c r="AK85" s="59">
        <f t="shared" si="1924"/>
        <v>65.350107633811902</v>
      </c>
      <c r="AL85" s="338"/>
      <c r="AM85" s="59"/>
      <c r="AN85" s="59">
        <v>1000</v>
      </c>
      <c r="AO85" s="62"/>
      <c r="AP85" s="62"/>
      <c r="AQ85" s="59"/>
      <c r="AR85" s="59"/>
      <c r="AS85" s="59"/>
      <c r="AT85" s="189">
        <f>VLOOKUP(B:B,综合进度!B:N,13,0)</f>
        <v>1.2012235572387399e-002</v>
      </c>
      <c r="AU85" s="59">
        <f t="shared" si="1925"/>
        <v>71.760855064731004</v>
      </c>
      <c r="AV85" s="59"/>
      <c r="AW85" s="59"/>
      <c r="AX85" s="59">
        <f t="shared" si="1926"/>
        <v>3314</v>
      </c>
      <c r="AY85" s="59">
        <v>3243</v>
      </c>
      <c r="AZ85" s="59">
        <f t="shared" si="1927"/>
        <v>3035.2646556877698</v>
      </c>
      <c r="BA85" s="59">
        <f t="shared" si="1928"/>
        <v>278.73534431222703</v>
      </c>
      <c r="BB85" s="43">
        <f t="shared" si="1933"/>
        <v>9.1832303252339306e-002</v>
      </c>
      <c r="BC85" s="50">
        <v>493</v>
      </c>
      <c r="BD85" s="50">
        <f t="shared" si="1929"/>
        <v>771.73534431222697</v>
      </c>
      <c r="BF85" s="341"/>
      <c r="BG85" s="339"/>
    </row>
    <row r="86" ht="17" customHeight="1">
      <c r="A86" s="46">
        <v>54</v>
      </c>
      <c r="B86" s="82" t="s">
        <v>131</v>
      </c>
      <c r="C86" s="46" t="s">
        <v>93</v>
      </c>
      <c r="D86" s="46">
        <v>2019</v>
      </c>
      <c r="E86" s="46" t="s">
        <v>94</v>
      </c>
      <c r="F86" s="46"/>
      <c r="G86" s="73">
        <v>154382</v>
      </c>
      <c r="H86" s="59">
        <f t="shared" si="1909"/>
        <v>138943.79999999999</v>
      </c>
      <c r="I86" s="59">
        <f t="shared" si="1934"/>
        <v>0</v>
      </c>
      <c r="J86" s="59">
        <f t="shared" si="1935"/>
        <v>0</v>
      </c>
      <c r="K86" s="59">
        <f t="shared" si="1936"/>
        <v>0</v>
      </c>
      <c r="L86" s="59">
        <f t="shared" si="1937"/>
        <v>138943.79999999999</v>
      </c>
      <c r="M86" s="59">
        <f t="shared" si="1938"/>
        <v>0</v>
      </c>
      <c r="N86" s="59">
        <v>15403</v>
      </c>
      <c r="O86" s="59">
        <v>10660</v>
      </c>
      <c r="P86" s="59">
        <f t="shared" si="1914"/>
        <v>0</v>
      </c>
      <c r="Q86" s="59"/>
      <c r="R86" s="59"/>
      <c r="S86" s="59"/>
      <c r="T86" s="59"/>
      <c r="U86" s="59">
        <v>2988</v>
      </c>
      <c r="V86" s="59">
        <f t="shared" si="1915"/>
        <v>1792.0397405349299</v>
      </c>
      <c r="W86" s="59">
        <v>10382.4</v>
      </c>
      <c r="X86" s="62">
        <f t="shared" si="1916"/>
        <v>0.85139954365162596</v>
      </c>
      <c r="Y86" s="62">
        <f t="shared" si="1917"/>
        <v>14.4554871518891</v>
      </c>
      <c r="Z86" s="62">
        <f t="shared" si="1932"/>
        <v>14.4554871518891</v>
      </c>
      <c r="AA86" s="59">
        <f t="shared" si="1919"/>
        <v>1145.17735200928</v>
      </c>
      <c r="AB86" s="59">
        <v>14924.362800000001</v>
      </c>
      <c r="AC86" s="59">
        <f t="shared" si="1920"/>
        <v>188.290506041464</v>
      </c>
      <c r="AD86" s="59"/>
      <c r="AE86" s="59"/>
      <c r="AF86" s="59">
        <v>36</v>
      </c>
      <c r="AG86" s="59">
        <f t="shared" si="1939"/>
        <v>36</v>
      </c>
      <c r="AH86" s="59">
        <f t="shared" si="1922"/>
        <v>60.692332439678303</v>
      </c>
      <c r="AI86" s="59">
        <v>1</v>
      </c>
      <c r="AJ86" s="59">
        <f t="shared" si="1940"/>
        <v>1</v>
      </c>
      <c r="AK86" s="59">
        <f t="shared" si="1924"/>
        <v>68.236902902970996</v>
      </c>
      <c r="AL86" s="338"/>
      <c r="AM86" s="59"/>
      <c r="AN86" s="59">
        <v>1000</v>
      </c>
      <c r="AO86" s="62"/>
      <c r="AP86" s="62"/>
      <c r="AQ86" s="59"/>
      <c r="AR86" s="59"/>
      <c r="AS86" s="59"/>
      <c r="AT86" s="189">
        <f>VLOOKUP(B:B,综合进度!B:N,13,0)</f>
        <v>1.46500596996202e-002</v>
      </c>
      <c r="AU86" s="59">
        <f t="shared" si="1925"/>
        <v>87.519163644337098</v>
      </c>
      <c r="AV86" s="59"/>
      <c r="AW86" s="59"/>
      <c r="AX86" s="59">
        <f t="shared" si="1926"/>
        <v>4342</v>
      </c>
      <c r="AY86" s="59">
        <v>4050</v>
      </c>
      <c r="AZ86" s="59">
        <f t="shared" si="1927"/>
        <v>3790.57103161748</v>
      </c>
      <c r="BA86" s="59">
        <f t="shared" si="1928"/>
        <v>551.42896838252204</v>
      </c>
      <c r="BB86" s="43">
        <f t="shared" si="1933"/>
        <v>0.14547385177141001</v>
      </c>
      <c r="BC86" s="50">
        <v>207</v>
      </c>
      <c r="BD86" s="50">
        <f t="shared" si="1929"/>
        <v>758.42896838252204</v>
      </c>
      <c r="BF86" s="341"/>
      <c r="BG86" s="339"/>
    </row>
    <row r="87" ht="17" customHeight="1">
      <c r="A87" s="46">
        <v>55</v>
      </c>
      <c r="B87" s="82" t="s">
        <v>132</v>
      </c>
      <c r="C87" s="46" t="s">
        <v>93</v>
      </c>
      <c r="D87" s="46">
        <v>2019</v>
      </c>
      <c r="E87" s="46" t="s">
        <v>94</v>
      </c>
      <c r="F87" s="46"/>
      <c r="G87" s="73">
        <v>105952</v>
      </c>
      <c r="H87" s="59">
        <f t="shared" si="1909"/>
        <v>95356.800000000003</v>
      </c>
      <c r="I87" s="59">
        <f t="shared" si="1934"/>
        <v>0</v>
      </c>
      <c r="J87" s="59">
        <f t="shared" si="1935"/>
        <v>0</v>
      </c>
      <c r="K87" s="59">
        <f t="shared" si="1936"/>
        <v>0</v>
      </c>
      <c r="L87" s="59">
        <f t="shared" si="1937"/>
        <v>95356.800000000003</v>
      </c>
      <c r="M87" s="59">
        <f t="shared" si="1938"/>
        <v>0</v>
      </c>
      <c r="N87" s="59">
        <v>10395</v>
      </c>
      <c r="O87" s="59">
        <v>12905</v>
      </c>
      <c r="P87" s="59">
        <f t="shared" si="1914"/>
        <v>1967.4000000000001</v>
      </c>
      <c r="Q87" s="59">
        <v>3279</v>
      </c>
      <c r="R87" s="59"/>
      <c r="S87" s="59"/>
      <c r="T87" s="59"/>
      <c r="U87" s="59">
        <v>1689</v>
      </c>
      <c r="V87" s="59">
        <f t="shared" si="1915"/>
        <v>1248.1057301066101</v>
      </c>
      <c r="W87" s="59">
        <v>10793.52</v>
      </c>
      <c r="X87" s="62">
        <f t="shared" si="1916"/>
        <v>0.78505797948045997</v>
      </c>
      <c r="Y87" s="62">
        <f t="shared" si="1917"/>
        <v>9.1339140738613107</v>
      </c>
      <c r="Z87" s="62">
        <f t="shared" si="1932"/>
        <v>9.1339140738613107</v>
      </c>
      <c r="AA87" s="59">
        <f t="shared" si="1919"/>
        <v>723.59730410177303</v>
      </c>
      <c r="AB87" s="59">
        <v>8815.4799999999996</v>
      </c>
      <c r="AC87" s="59">
        <f t="shared" si="1920"/>
        <v>111.218898417452</v>
      </c>
      <c r="AD87" s="59"/>
      <c r="AE87" s="59"/>
      <c r="AF87" s="59">
        <v>9</v>
      </c>
      <c r="AG87" s="59">
        <f t="shared" si="1939"/>
        <v>9</v>
      </c>
      <c r="AH87" s="59">
        <f t="shared" si="1922"/>
        <v>15.173083109919601</v>
      </c>
      <c r="AI87" s="59">
        <v>0.88889332481635297</v>
      </c>
      <c r="AJ87" s="59">
        <f t="shared" si="1940"/>
        <v>0.88889332481635297</v>
      </c>
      <c r="AK87" s="59">
        <f t="shared" si="1924"/>
        <v>60.655327496592498</v>
      </c>
      <c r="AL87" s="338"/>
      <c r="AM87" s="59"/>
      <c r="AN87" s="59">
        <v>1000</v>
      </c>
      <c r="AO87" s="62"/>
      <c r="AP87" s="62"/>
      <c r="AQ87" s="59"/>
      <c r="AR87" s="59"/>
      <c r="AS87" s="59"/>
      <c r="AT87" s="189">
        <f>VLOOKUP(B:B,综合进度!B:N,13,0)</f>
        <v>1.1860821478038099e-002</v>
      </c>
      <c r="AU87" s="59">
        <f t="shared" si="1925"/>
        <v>70.856310293369802</v>
      </c>
      <c r="AV87" s="59"/>
      <c r="AW87" s="59"/>
      <c r="AX87" s="59">
        <f t="shared" si="1926"/>
        <v>3230</v>
      </c>
      <c r="AY87" s="59">
        <v>3701</v>
      </c>
      <c r="AZ87" s="59">
        <f t="shared" si="1927"/>
        <v>3463.9267624731601</v>
      </c>
      <c r="BA87" s="59">
        <f t="shared" si="1928"/>
        <v>-233.926762473157</v>
      </c>
      <c r="BB87" s="43">
        <f t="shared" si="1933"/>
        <v>-6.7532248374136794e-002</v>
      </c>
      <c r="BC87" s="50">
        <v>-168</v>
      </c>
      <c r="BD87" s="50">
        <f t="shared" si="1929"/>
        <v>-401.926762473157</v>
      </c>
      <c r="BF87" s="341"/>
      <c r="BG87" s="339"/>
    </row>
    <row r="88" ht="17" customHeight="1">
      <c r="A88" s="46">
        <v>56</v>
      </c>
      <c r="B88" s="82" t="s">
        <v>134</v>
      </c>
      <c r="C88" s="46" t="s">
        <v>93</v>
      </c>
      <c r="D88" s="46">
        <v>2019</v>
      </c>
      <c r="E88" s="46" t="s">
        <v>94</v>
      </c>
      <c r="F88" s="46" t="s">
        <v>146</v>
      </c>
      <c r="G88" s="73">
        <v>97676</v>
      </c>
      <c r="H88" s="59">
        <f t="shared" si="1909"/>
        <v>87908.399999999994</v>
      </c>
      <c r="I88" s="59">
        <f t="shared" si="1934"/>
        <v>0</v>
      </c>
      <c r="J88" s="59">
        <f t="shared" si="1935"/>
        <v>0</v>
      </c>
      <c r="K88" s="59">
        <f t="shared" si="1936"/>
        <v>0</v>
      </c>
      <c r="L88" s="59">
        <f t="shared" si="1937"/>
        <v>87908.399999999994</v>
      </c>
      <c r="M88" s="59">
        <f t="shared" si="1938"/>
        <v>0</v>
      </c>
      <c r="N88" s="59">
        <v>8288</v>
      </c>
      <c r="O88" s="59">
        <v>10686</v>
      </c>
      <c r="P88" s="59">
        <f t="shared" si="1914"/>
        <v>790.20000000000005</v>
      </c>
      <c r="Q88" s="59">
        <v>1317</v>
      </c>
      <c r="R88" s="59"/>
      <c r="S88" s="59"/>
      <c r="T88" s="59"/>
      <c r="U88" s="59">
        <v>662</v>
      </c>
      <c r="V88" s="59">
        <f t="shared" si="1915"/>
        <v>1017.00793249631</v>
      </c>
      <c r="W88" s="59">
        <v>11451.93</v>
      </c>
      <c r="X88" s="62">
        <f t="shared" si="1916"/>
        <v>0.67881175145473105</v>
      </c>
      <c r="Y88" s="62">
        <f t="shared" si="1917"/>
        <v>7.1929608431149203</v>
      </c>
      <c r="Z88" s="62">
        <f t="shared" si="1932"/>
        <v>7.1929608431149203</v>
      </c>
      <c r="AA88" s="59">
        <f t="shared" si="1919"/>
        <v>569.83315504163397</v>
      </c>
      <c r="AB88" s="59">
        <v>15608.370000000001</v>
      </c>
      <c r="AC88" s="59">
        <f t="shared" si="1920"/>
        <v>196.920158345548</v>
      </c>
      <c r="AD88" s="59"/>
      <c r="AE88" s="59"/>
      <c r="AF88" s="59">
        <v>36</v>
      </c>
      <c r="AG88" s="59">
        <f t="shared" si="1939"/>
        <v>36</v>
      </c>
      <c r="AH88" s="59">
        <f t="shared" si="1922"/>
        <v>60.692332439678303</v>
      </c>
      <c r="AI88" s="59">
        <v>1</v>
      </c>
      <c r="AJ88" s="59">
        <f t="shared" si="1940"/>
        <v>1</v>
      </c>
      <c r="AK88" s="59">
        <f t="shared" si="1924"/>
        <v>68.236902902970996</v>
      </c>
      <c r="AL88" s="338"/>
      <c r="AM88" s="59"/>
      <c r="AN88" s="59">
        <v>1000</v>
      </c>
      <c r="AO88" s="62"/>
      <c r="AP88" s="62"/>
      <c r="AQ88" s="59"/>
      <c r="AR88" s="59"/>
      <c r="AS88" s="59"/>
      <c r="AT88" s="189">
        <f>VLOOKUP(B:B,综合进度!B:N,13,0)</f>
        <v>1.12170297472141e-002</v>
      </c>
      <c r="AU88" s="59">
        <f t="shared" si="1925"/>
        <v>67.010311369262197</v>
      </c>
      <c r="AV88" s="59"/>
      <c r="AW88" s="59"/>
      <c r="AX88" s="59">
        <f t="shared" si="1926"/>
        <v>2980</v>
      </c>
      <c r="AY88" s="59">
        <v>4482</v>
      </c>
      <c r="AZ88" s="59">
        <f t="shared" si="1927"/>
        <v>4194.8986083233403</v>
      </c>
      <c r="BA88" s="59">
        <f t="shared" si="1928"/>
        <v>-1214.8986083233401</v>
      </c>
      <c r="BB88" s="43">
        <f t="shared" si="1933"/>
        <v>-0.28961334271889</v>
      </c>
      <c r="BC88" s="50">
        <v>418</v>
      </c>
      <c r="BD88" s="50">
        <f t="shared" si="1929"/>
        <v>-796.89860832334205</v>
      </c>
      <c r="BF88" s="341"/>
      <c r="BG88" s="339"/>
    </row>
    <row r="89" s="5" customFormat="1" ht="17" customHeight="1">
      <c r="A89" s="65"/>
      <c r="B89" s="66" t="s">
        <v>136</v>
      </c>
      <c r="C89" s="67">
        <v>1</v>
      </c>
      <c r="D89" s="67"/>
      <c r="E89" s="67"/>
      <c r="F89" s="68"/>
      <c r="G89" s="69">
        <f t="shared" ref="G89:U89" si="1941">G90+G91</f>
        <v>573982</v>
      </c>
      <c r="H89" s="69">
        <f t="shared" si="1941"/>
        <v>521571.29999999999</v>
      </c>
      <c r="I89" s="69">
        <f t="shared" si="1941"/>
        <v>0</v>
      </c>
      <c r="J89" s="69">
        <f t="shared" si="1941"/>
        <v>0</v>
      </c>
      <c r="K89" s="69">
        <f t="shared" si="1941"/>
        <v>72706.399999999994</v>
      </c>
      <c r="L89" s="69">
        <f t="shared" si="1941"/>
        <v>308106.90000000002</v>
      </c>
      <c r="M89" s="69">
        <f t="shared" si="1941"/>
        <v>140758</v>
      </c>
      <c r="N89" s="69">
        <f t="shared" si="1941"/>
        <v>70367</v>
      </c>
      <c r="O89" s="69">
        <f t="shared" si="1941"/>
        <v>37005</v>
      </c>
      <c r="P89" s="69">
        <f t="shared" si="1941"/>
        <v>12735.4</v>
      </c>
      <c r="Q89" s="59">
        <v>9011</v>
      </c>
      <c r="R89" s="69">
        <f>R90+R91</f>
        <v>9161</v>
      </c>
      <c r="S89" s="69">
        <f>S90+S91</f>
        <v>0</v>
      </c>
      <c r="T89" s="69">
        <f>T90+T91</f>
        <v>0</v>
      </c>
      <c r="U89" s="69">
        <f>U90+U91</f>
        <v>10586</v>
      </c>
      <c r="V89" s="69">
        <f>V90+V91</f>
        <v>7615.39153633768</v>
      </c>
      <c r="W89" s="69"/>
      <c r="X89" s="69">
        <f t="shared" ref="X89:AE89" si="1942">X90+X91</f>
        <v>3.9161048374864098</v>
      </c>
      <c r="Y89" s="69">
        <f t="shared" si="1942"/>
        <v>32.265686311001097</v>
      </c>
      <c r="Z89" s="69">
        <f t="shared" si="1942"/>
        <v>29.5466655301258</v>
      </c>
      <c r="AA89" s="69">
        <f t="shared" si="1942"/>
        <v>2340.71476367169</v>
      </c>
      <c r="AB89" s="69">
        <f t="shared" si="1942"/>
        <v>27284.931400000001</v>
      </c>
      <c r="AC89" s="69">
        <f t="shared" si="1942"/>
        <v>344.23536933936202</v>
      </c>
      <c r="AD89" s="69"/>
      <c r="AE89" s="69"/>
      <c r="AF89" s="69">
        <f t="shared" ref="AF89:AS89" si="1943">AF90+AF91</f>
        <v>244</v>
      </c>
      <c r="AG89" s="69">
        <f t="shared" si="1943"/>
        <v>244</v>
      </c>
      <c r="AH89" s="69">
        <f t="shared" si="1943"/>
        <v>411.35914209115299</v>
      </c>
      <c r="AI89" s="69">
        <f t="shared" si="1943"/>
        <v>7.8111382952869404</v>
      </c>
      <c r="AJ89" s="69">
        <f t="shared" si="1943"/>
        <v>7.8111382952869404</v>
      </c>
      <c r="AK89" s="69">
        <f t="shared" si="1943"/>
        <v>533.00788541717304</v>
      </c>
      <c r="AL89" s="69"/>
      <c r="AM89" s="69"/>
      <c r="AN89" s="69">
        <f t="shared" si="1943"/>
        <v>14000</v>
      </c>
      <c r="AO89" s="69"/>
      <c r="AP89" s="69"/>
      <c r="AQ89" s="69">
        <f t="shared" ref="AO89:AT89" si="1944">AQ90+AQ91</f>
        <v>0</v>
      </c>
      <c r="AR89" s="69"/>
      <c r="AS89" s="69">
        <f t="shared" si="1944"/>
        <v>0</v>
      </c>
      <c r="AT89" s="403">
        <f t="shared" si="1944"/>
        <v>7.2927773228782994e-002</v>
      </c>
      <c r="AU89" s="69">
        <f t="shared" ref="AS89:BA89" si="1945">AU90+AU91</f>
        <v>435.66905871328498</v>
      </c>
      <c r="AV89" s="69"/>
      <c r="AW89" s="71"/>
      <c r="AX89" s="69">
        <f t="shared" si="1945"/>
        <v>25681</v>
      </c>
      <c r="AY89" s="69">
        <v>21161</v>
      </c>
      <c r="AZ89" s="69">
        <f t="shared" si="1945"/>
        <v>19805.499654335199</v>
      </c>
      <c r="BA89" s="69">
        <f t="shared" si="1945"/>
        <v>5875.5003456648301</v>
      </c>
      <c r="BB89" s="336">
        <f t="shared" si="1933"/>
        <v>0.29666004131224999</v>
      </c>
      <c r="BC89" s="404">
        <v>-13193</v>
      </c>
      <c r="BD89" s="69">
        <f>BD90+BD91</f>
        <v>-7324.4996543351699</v>
      </c>
      <c r="BG89" s="340"/>
    </row>
    <row r="90" s="5" customFormat="1" ht="17" customHeight="1">
      <c r="A90" s="44"/>
      <c r="B90" s="72" t="s">
        <v>137</v>
      </c>
      <c r="C90" s="46">
        <v>2</v>
      </c>
      <c r="D90" s="46"/>
      <c r="E90" s="46"/>
      <c r="F90" s="46"/>
      <c r="G90" s="73"/>
      <c r="H90" s="59">
        <f t="shared" ref="H90:H99" si="1946">SUM(I90:M90)</f>
        <v>0</v>
      </c>
      <c r="I90" s="59">
        <f t="shared" si="1934"/>
        <v>0</v>
      </c>
      <c r="J90" s="59">
        <f t="shared" si="1935"/>
        <v>0</v>
      </c>
      <c r="K90" s="59">
        <f t="shared" si="1936"/>
        <v>0</v>
      </c>
      <c r="L90" s="59">
        <f t="shared" si="1937"/>
        <v>0</v>
      </c>
      <c r="M90" s="59">
        <f t="shared" si="1938"/>
        <v>0</v>
      </c>
      <c r="N90" s="59"/>
      <c r="O90" s="59"/>
      <c r="P90" s="59">
        <f>L90*0.4+M90*0.6+N90*0.8+O90*1</f>
        <v>0</v>
      </c>
      <c r="Q90" s="59"/>
      <c r="R90" s="59"/>
      <c r="S90" s="59"/>
      <c r="T90" s="59"/>
      <c r="U90" s="59"/>
      <c r="V90" s="59">
        <f>H90/$H$9*134866+N90/$N$9*202299+P90/$P$9*100000+U90/$U$9*34867</f>
        <v>0</v>
      </c>
      <c r="W90" s="59"/>
      <c r="X90" s="62"/>
      <c r="Y90" s="62"/>
      <c r="Z90" s="62"/>
      <c r="AA90" s="59"/>
      <c r="AB90" s="59"/>
      <c r="AC90" s="59"/>
      <c r="AD90" s="59"/>
      <c r="AE90" s="59"/>
      <c r="AF90" s="59"/>
      <c r="AG90" s="59">
        <f t="shared" si="1939"/>
        <v>0</v>
      </c>
      <c r="AH90" s="59">
        <f>AG90/$AG$9*40459.89</f>
        <v>0</v>
      </c>
      <c r="AI90" s="59"/>
      <c r="AJ90" s="59">
        <f t="shared" si="1940"/>
        <v>0</v>
      </c>
      <c r="AK90" s="59">
        <f>AJ90/$AJ$9*40459.89</f>
        <v>0</v>
      </c>
      <c r="AL90" s="59"/>
      <c r="AM90" s="59"/>
      <c r="AN90" s="59"/>
      <c r="AO90" s="62"/>
      <c r="AP90" s="62"/>
      <c r="AQ90" s="59"/>
      <c r="AR90" s="59"/>
      <c r="AS90" s="59"/>
      <c r="AT90" s="189"/>
      <c r="AU90" s="59"/>
      <c r="AV90" s="59"/>
      <c r="AW90" s="59"/>
      <c r="AX90" s="59">
        <f>V90+AA90+AC90+AE90+AH90+AK90+AM90+AN90+AQ90+AS90+AU90+AW90</f>
        <v>0</v>
      </c>
      <c r="AY90" s="59"/>
      <c r="AZ90" s="170"/>
      <c r="BA90" s="50"/>
      <c r="BB90" s="43"/>
      <c r="BC90" s="50">
        <v>7</v>
      </c>
      <c r="BD90" s="50"/>
      <c r="BG90" s="340"/>
    </row>
    <row r="91" s="5" customFormat="1" ht="17" customHeight="1">
      <c r="A91" s="75"/>
      <c r="B91" s="76" t="s">
        <v>76</v>
      </c>
      <c r="C91" s="77">
        <v>3</v>
      </c>
      <c r="D91" s="77"/>
      <c r="E91" s="77"/>
      <c r="F91" s="78"/>
      <c r="G91" s="79">
        <f>SUM(G92:G99)</f>
        <v>573982</v>
      </c>
      <c r="H91" s="79">
        <f>SUM(H92:H99)</f>
        <v>521571.29999999999</v>
      </c>
      <c r="I91" s="79">
        <f t="shared" ref="I91:U91" si="1947">SUM(I92:I99)</f>
        <v>0</v>
      </c>
      <c r="J91" s="79">
        <f t="shared" si="1947"/>
        <v>0</v>
      </c>
      <c r="K91" s="79">
        <f t="shared" si="1947"/>
        <v>72706.399999999994</v>
      </c>
      <c r="L91" s="79">
        <f t="shared" si="1947"/>
        <v>308106.90000000002</v>
      </c>
      <c r="M91" s="79">
        <f t="shared" si="1947"/>
        <v>140758</v>
      </c>
      <c r="N91" s="79">
        <f t="shared" si="1947"/>
        <v>70367</v>
      </c>
      <c r="O91" s="79">
        <f t="shared" si="1947"/>
        <v>37005</v>
      </c>
      <c r="P91" s="79">
        <f t="shared" si="1947"/>
        <v>12735.4</v>
      </c>
      <c r="Q91" s="59">
        <v>9011</v>
      </c>
      <c r="R91" s="79">
        <f>SUM(R92:R99)</f>
        <v>9161</v>
      </c>
      <c r="S91" s="79">
        <f>SUM(S92:S99)</f>
        <v>0</v>
      </c>
      <c r="T91" s="79">
        <f>SUM(T92:T99)</f>
        <v>0</v>
      </c>
      <c r="U91" s="79">
        <f>SUM(U92:U99)</f>
        <v>10586</v>
      </c>
      <c r="V91" s="79">
        <f>SUM(V92:V99)</f>
        <v>7615.39153633768</v>
      </c>
      <c r="W91" s="79"/>
      <c r="X91" s="79">
        <f t="shared" ref="X91:AE91" si="1948">SUM(X92:X99)</f>
        <v>3.9161048374864098</v>
      </c>
      <c r="Y91" s="79">
        <f t="shared" si="1948"/>
        <v>32.265686311001097</v>
      </c>
      <c r="Z91" s="79">
        <f t="shared" si="1948"/>
        <v>29.5466655301258</v>
      </c>
      <c r="AA91" s="79">
        <f t="shared" si="1948"/>
        <v>2340.71476367169</v>
      </c>
      <c r="AB91" s="79">
        <f t="shared" si="1948"/>
        <v>27284.931400000001</v>
      </c>
      <c r="AC91" s="79">
        <f t="shared" si="1948"/>
        <v>344.23536933936202</v>
      </c>
      <c r="AD91" s="79"/>
      <c r="AE91" s="79"/>
      <c r="AF91" s="79">
        <f t="shared" ref="AF91:AS91" si="1949">SUM(AF92:AF99)</f>
        <v>244</v>
      </c>
      <c r="AG91" s="79">
        <f t="shared" si="1949"/>
        <v>244</v>
      </c>
      <c r="AH91" s="79">
        <f t="shared" si="1949"/>
        <v>411.35914209115299</v>
      </c>
      <c r="AI91" s="79">
        <f t="shared" si="1949"/>
        <v>7.8111382952869404</v>
      </c>
      <c r="AJ91" s="79">
        <f t="shared" si="1949"/>
        <v>7.8111382952869404</v>
      </c>
      <c r="AK91" s="79">
        <f t="shared" si="1949"/>
        <v>533.00788541717304</v>
      </c>
      <c r="AL91" s="79"/>
      <c r="AM91" s="79"/>
      <c r="AN91" s="79">
        <f t="shared" si="1949"/>
        <v>14000</v>
      </c>
      <c r="AO91" s="79"/>
      <c r="AP91" s="79"/>
      <c r="AQ91" s="79">
        <f t="shared" ref="AO91:AT91" si="1950">SUM(AQ92:AQ99)</f>
        <v>0</v>
      </c>
      <c r="AR91" s="79"/>
      <c r="AS91" s="79">
        <f t="shared" si="1950"/>
        <v>0</v>
      </c>
      <c r="AT91" s="405">
        <f t="shared" si="1950"/>
        <v>7.2927773228782994e-002</v>
      </c>
      <c r="AU91" s="79">
        <f t="shared" ref="AS91:BA91" si="1951">SUM(AU92:AU99)</f>
        <v>435.66905871328498</v>
      </c>
      <c r="AV91" s="79"/>
      <c r="AW91" s="81"/>
      <c r="AX91" s="79">
        <f t="shared" si="1951"/>
        <v>25681</v>
      </c>
      <c r="AY91" s="79">
        <v>21161</v>
      </c>
      <c r="AZ91" s="79">
        <f t="shared" si="1951"/>
        <v>19805.499654335199</v>
      </c>
      <c r="BA91" s="79">
        <f t="shared" si="1951"/>
        <v>5875.5003456648301</v>
      </c>
      <c r="BB91" s="337">
        <f t="shared" si="1933"/>
        <v>0.29666004131224999</v>
      </c>
      <c r="BC91" s="406">
        <v>-13200</v>
      </c>
      <c r="BD91" s="79">
        <f>SUM(BD92:BD99)</f>
        <v>-7324.4996543351699</v>
      </c>
      <c r="BG91" s="340"/>
    </row>
    <row r="92" ht="17" customHeight="1">
      <c r="A92" s="46">
        <v>57</v>
      </c>
      <c r="B92" s="82" t="s">
        <v>138</v>
      </c>
      <c r="C92" s="46" t="s">
        <v>90</v>
      </c>
      <c r="D92" s="46">
        <v>2019</v>
      </c>
      <c r="E92" s="46"/>
      <c r="F92" s="46"/>
      <c r="G92" s="73">
        <v>56067</v>
      </c>
      <c r="H92" s="59">
        <f t="shared" si="1946"/>
        <v>50460.300000000003</v>
      </c>
      <c r="I92" s="59">
        <f t="shared" si="1934"/>
        <v>0</v>
      </c>
      <c r="J92" s="59">
        <f t="shared" si="1935"/>
        <v>0</v>
      </c>
      <c r="K92" s="59">
        <f t="shared" si="1936"/>
        <v>0</v>
      </c>
      <c r="L92" s="59">
        <f t="shared" si="1937"/>
        <v>50460.300000000003</v>
      </c>
      <c r="M92" s="59">
        <f t="shared" si="1938"/>
        <v>0</v>
      </c>
      <c r="N92" s="59">
        <v>6906</v>
      </c>
      <c r="O92" s="59">
        <v>4466</v>
      </c>
      <c r="P92" s="59">
        <f t="shared" ref="P92:P99" si="1952">Q92*0.6+R92*0.8+S92*1+T92*1.25</f>
        <v>1583.4000000000001</v>
      </c>
      <c r="Q92" s="59">
        <v>2639</v>
      </c>
      <c r="R92" s="59"/>
      <c r="S92" s="59"/>
      <c r="T92" s="59"/>
      <c r="U92" s="59">
        <v>726</v>
      </c>
      <c r="V92" s="59">
        <f t="shared" ref="V92:V99" si="1953">H92/$H$9*298699*0.12+N92/$N$9*298699*0.15+P92/$P$9*298699*0.035+U92/$U$9*298699*0.025</f>
        <v>734.66937070653296</v>
      </c>
      <c r="W92" s="59">
        <v>13445.76</v>
      </c>
      <c r="X92" s="62">
        <f t="shared" ref="X92:X99" si="1954">($W$64-W92)/($W$64-$W$44)</f>
        <v>0.35707162474866999</v>
      </c>
      <c r="Y92" s="62">
        <f t="shared" ref="Y92:Y99" si="1955">(G92+N92)*X92/10000</f>
        <v>2.2485871425298001</v>
      </c>
      <c r="Z92" s="62">
        <f t="shared" ref="Z92:Z93" si="1956">Y92*0.5</f>
        <v>1.1242935712649</v>
      </c>
      <c r="AA92" s="59">
        <f t="shared" ref="AA92:AA99" si="1957">Z92/$Z$9*298699*0.12</f>
        <v>89.067599126462795</v>
      </c>
      <c r="AB92" s="59">
        <v>1575.53</v>
      </c>
      <c r="AC92" s="59">
        <f t="shared" ref="AC92:AC99" si="1958">(AB92/$AB$9*298699*0.03)</f>
        <v>19.877387393953398</v>
      </c>
      <c r="AD92" s="59"/>
      <c r="AE92" s="59"/>
      <c r="AF92" s="59">
        <v>51</v>
      </c>
      <c r="AG92" s="59">
        <f t="shared" si="1939"/>
        <v>51</v>
      </c>
      <c r="AH92" s="59">
        <f t="shared" ref="AH92:AH99" si="1959">AG92/$AG$9*298699*0.02</f>
        <v>85.980804289544295</v>
      </c>
      <c r="AI92" s="59">
        <v>0.97284504235176905</v>
      </c>
      <c r="AJ92" s="59">
        <f t="shared" si="1940"/>
        <v>0.97284504235176905</v>
      </c>
      <c r="AK92" s="59">
        <f t="shared" ref="AK92:AK99" si="1960">AJ92/$AJ$9*298699*0.02</f>
        <v>66.383932694594293</v>
      </c>
      <c r="AL92" s="338"/>
      <c r="AM92" s="59"/>
      <c r="AN92" s="59"/>
      <c r="AO92" s="62"/>
      <c r="AP92" s="62"/>
      <c r="AQ92" s="59"/>
      <c r="AR92" s="59"/>
      <c r="AS92" s="59"/>
      <c r="AT92" s="189">
        <f>VLOOKUP(B:B,综合进度!B:N,13,0)</f>
        <v>6.2835924175141901e-003</v>
      </c>
      <c r="AU92" s="59">
        <f t="shared" ref="AU92:AU99" si="1961">AT92/$AT$9*298699*0.02</f>
        <v>37.538055430381398</v>
      </c>
      <c r="AV92" s="59"/>
      <c r="AW92" s="59"/>
      <c r="AX92" s="59">
        <f t="shared" ref="AX92:AX99" si="1962">ROUND(V92+AA92+AC92+AN92+AQ92+AS92+AU92+AW92+AH92+AK92,0)</f>
        <v>1034</v>
      </c>
      <c r="AY92" s="59">
        <v>1140</v>
      </c>
      <c r="AZ92" s="59">
        <f t="shared" ref="AZ92:AZ99" si="1963">AY92/$AY$9*280243</f>
        <v>1066.97554964048</v>
      </c>
      <c r="BA92" s="59">
        <f t="shared" ref="BA92:BA99" si="1964">AX92-AZ92</f>
        <v>-32.9755496404753</v>
      </c>
      <c r="BB92" s="43">
        <f t="shared" si="1933"/>
        <v>-3.0905628204494998e-002</v>
      </c>
      <c r="BC92" s="50">
        <v>1703</v>
      </c>
      <c r="BD92" s="50">
        <f t="shared" ref="BD92:BD99" si="1965">BC92+BA92</f>
        <v>1670.02445035952</v>
      </c>
      <c r="BG92" s="340"/>
    </row>
    <row r="93" s="5" customFormat="1" ht="17" customHeight="1">
      <c r="A93" s="46">
        <v>58</v>
      </c>
      <c r="B93" s="82" t="s">
        <v>139</v>
      </c>
      <c r="C93" s="46" t="s">
        <v>90</v>
      </c>
      <c r="D93" s="46">
        <v>2018</v>
      </c>
      <c r="E93" s="46"/>
      <c r="F93" s="46"/>
      <c r="G93" s="73">
        <v>58746</v>
      </c>
      <c r="H93" s="59">
        <f t="shared" si="1946"/>
        <v>46996.800000000003</v>
      </c>
      <c r="I93" s="59">
        <f t="shared" si="1934"/>
        <v>0</v>
      </c>
      <c r="J93" s="59">
        <f t="shared" si="1935"/>
        <v>0</v>
      </c>
      <c r="K93" s="59">
        <f t="shared" si="1936"/>
        <v>46996.800000000003</v>
      </c>
      <c r="L93" s="59">
        <f t="shared" si="1937"/>
        <v>0</v>
      </c>
      <c r="M93" s="59">
        <f t="shared" si="1938"/>
        <v>0</v>
      </c>
      <c r="N93" s="59">
        <v>5959</v>
      </c>
      <c r="O93" s="59">
        <v>2491</v>
      </c>
      <c r="P93" s="59">
        <f t="shared" si="1952"/>
        <v>560.39999999999998</v>
      </c>
      <c r="Q93" s="59">
        <v>934</v>
      </c>
      <c r="R93" s="59"/>
      <c r="S93" s="59"/>
      <c r="T93" s="59"/>
      <c r="U93" s="59">
        <v>1056</v>
      </c>
      <c r="V93" s="59">
        <f t="shared" si="1953"/>
        <v>658.77560275164001</v>
      </c>
      <c r="W93" s="59">
        <v>12603.889999999999</v>
      </c>
      <c r="X93" s="62">
        <f t="shared" si="1954"/>
        <v>0.49292240463964998</v>
      </c>
      <c r="Y93" s="62">
        <f t="shared" si="1955"/>
        <v>3.18945441922085</v>
      </c>
      <c r="Z93" s="62">
        <f t="shared" si="1956"/>
        <v>1.5947272096104299</v>
      </c>
      <c r="AA93" s="59">
        <f t="shared" si="1957"/>
        <v>126.335796496499</v>
      </c>
      <c r="AB93" s="59">
        <v>1123.76</v>
      </c>
      <c r="AC93" s="59">
        <f t="shared" si="1958"/>
        <v>14.177713441082799</v>
      </c>
      <c r="AD93" s="59"/>
      <c r="AE93" s="59"/>
      <c r="AF93" s="59">
        <v>24</v>
      </c>
      <c r="AG93" s="59">
        <f t="shared" si="1939"/>
        <v>24</v>
      </c>
      <c r="AH93" s="59">
        <f t="shared" si="1959"/>
        <v>40.461554959785502</v>
      </c>
      <c r="AI93" s="59">
        <v>1</v>
      </c>
      <c r="AJ93" s="59">
        <f t="shared" si="1940"/>
        <v>1</v>
      </c>
      <c r="AK93" s="59">
        <f t="shared" si="1960"/>
        <v>68.236902902970996</v>
      </c>
      <c r="AL93" s="338"/>
      <c r="AM93" s="59"/>
      <c r="AN93" s="59"/>
      <c r="AO93" s="62"/>
      <c r="AP93" s="62"/>
      <c r="AQ93" s="59"/>
      <c r="AR93" s="59"/>
      <c r="AS93" s="59"/>
      <c r="AT93" s="189">
        <f>VLOOKUP(B:B,综合进度!B:N,13,0)</f>
        <v>4.3022791071161701e-003</v>
      </c>
      <c r="AU93" s="59">
        <f t="shared" si="1961"/>
        <v>25.701729340329901</v>
      </c>
      <c r="AV93" s="59"/>
      <c r="AW93" s="59"/>
      <c r="AX93" s="59">
        <f t="shared" si="1962"/>
        <v>934</v>
      </c>
      <c r="AY93" s="59">
        <v>855</v>
      </c>
      <c r="AZ93" s="59">
        <f t="shared" si="1963"/>
        <v>800.23166223035605</v>
      </c>
      <c r="BA93" s="59">
        <f t="shared" si="1964"/>
        <v>133.76833776964401</v>
      </c>
      <c r="BB93" s="43">
        <f t="shared" si="1933"/>
        <v>0.167162015805289</v>
      </c>
      <c r="BC93" s="50">
        <v>1514</v>
      </c>
      <c r="BD93" s="50">
        <f t="shared" si="1965"/>
        <v>1647.7683377696401</v>
      </c>
      <c r="BG93" s="340"/>
    </row>
    <row r="94" ht="17" customHeight="1">
      <c r="A94" s="46">
        <v>59</v>
      </c>
      <c r="B94" s="82" t="s">
        <v>140</v>
      </c>
      <c r="C94" s="46" t="s">
        <v>90</v>
      </c>
      <c r="D94" s="46">
        <v>2018</v>
      </c>
      <c r="E94" s="46" t="s">
        <v>91</v>
      </c>
      <c r="F94" s="46"/>
      <c r="G94" s="73">
        <v>32137</v>
      </c>
      <c r="H94" s="59">
        <f t="shared" si="1946"/>
        <v>25709.599999999999</v>
      </c>
      <c r="I94" s="59">
        <f t="shared" si="1934"/>
        <v>0</v>
      </c>
      <c r="J94" s="59">
        <f t="shared" si="1935"/>
        <v>0</v>
      </c>
      <c r="K94" s="59">
        <f t="shared" si="1936"/>
        <v>25709.599999999999</v>
      </c>
      <c r="L94" s="59">
        <f t="shared" si="1937"/>
        <v>0</v>
      </c>
      <c r="M94" s="59">
        <f t="shared" si="1938"/>
        <v>0</v>
      </c>
      <c r="N94" s="59">
        <v>5031</v>
      </c>
      <c r="O94" s="59">
        <v>3630</v>
      </c>
      <c r="P94" s="59">
        <f t="shared" si="1952"/>
        <v>1035</v>
      </c>
      <c r="Q94" s="59">
        <v>1725</v>
      </c>
      <c r="R94" s="59"/>
      <c r="S94" s="59"/>
      <c r="T94" s="59"/>
      <c r="U94" s="59">
        <v>941</v>
      </c>
      <c r="V94" s="59">
        <f t="shared" si="1953"/>
        <v>484.04834676381898</v>
      </c>
      <c r="W94" s="59">
        <v>13268.620000000001</v>
      </c>
      <c r="X94" s="62">
        <f t="shared" si="1954"/>
        <v>0.38565633159163598</v>
      </c>
      <c r="Y94" s="62">
        <f t="shared" si="1955"/>
        <v>1.43340745325979</v>
      </c>
      <c r="Z94" s="62">
        <f t="shared" ref="Z94:Z99" si="1966">Y94*1</f>
        <v>1.43340745325979</v>
      </c>
      <c r="AA94" s="59">
        <f t="shared" si="1957"/>
        <v>113.555892957914</v>
      </c>
      <c r="AB94" s="59">
        <v>3668.9470000000001</v>
      </c>
      <c r="AC94" s="59">
        <f t="shared" si="1958"/>
        <v>46.288601833594598</v>
      </c>
      <c r="AD94" s="59"/>
      <c r="AE94" s="59"/>
      <c r="AF94" s="59">
        <v>15</v>
      </c>
      <c r="AG94" s="59">
        <f t="shared" si="1939"/>
        <v>15</v>
      </c>
      <c r="AH94" s="59">
        <f t="shared" si="1959"/>
        <v>25.2884718498659</v>
      </c>
      <c r="AI94" s="59">
        <v>0.99443899247628398</v>
      </c>
      <c r="AJ94" s="59">
        <f t="shared" si="1940"/>
        <v>0.99443899247628398</v>
      </c>
      <c r="AK94" s="59">
        <f t="shared" si="1960"/>
        <v>67.857436972532497</v>
      </c>
      <c r="AL94" s="338"/>
      <c r="AM94" s="59"/>
      <c r="AN94" s="59">
        <v>3000</v>
      </c>
      <c r="AO94" s="62"/>
      <c r="AP94" s="62"/>
      <c r="AQ94" s="59"/>
      <c r="AR94" s="59"/>
      <c r="AS94" s="59"/>
      <c r="AT94" s="189">
        <f>VLOOKUP(B:B,综合进度!B:N,13,0)</f>
        <v>5.1691362621850397e-003</v>
      </c>
      <c r="AU94" s="59">
        <f t="shared" si="1961"/>
        <v>30.8803166475682</v>
      </c>
      <c r="AV94" s="59"/>
      <c r="AW94" s="59"/>
      <c r="AX94" s="59">
        <f t="shared" si="1962"/>
        <v>3768</v>
      </c>
      <c r="AY94" s="59">
        <v>860</v>
      </c>
      <c r="AZ94" s="59">
        <f t="shared" si="1963"/>
        <v>804.91137955334102</v>
      </c>
      <c r="BA94" s="59">
        <f t="shared" si="1964"/>
        <v>2963.0886204466601</v>
      </c>
      <c r="BB94" s="43">
        <f t="shared" si="1933"/>
        <v>3.6812606899543701</v>
      </c>
      <c r="BC94" s="50">
        <v>-1309</v>
      </c>
      <c r="BD94" s="50">
        <f t="shared" si="1965"/>
        <v>1654.0886204466599</v>
      </c>
      <c r="BG94" s="340"/>
    </row>
    <row r="95" ht="17" customHeight="1">
      <c r="A95" s="46">
        <v>60</v>
      </c>
      <c r="B95" s="82" t="s">
        <v>141</v>
      </c>
      <c r="C95" s="46" t="s">
        <v>90</v>
      </c>
      <c r="D95" s="46">
        <v>2019</v>
      </c>
      <c r="E95" s="46" t="s">
        <v>91</v>
      </c>
      <c r="F95" s="46" t="s">
        <v>146</v>
      </c>
      <c r="G95" s="73">
        <v>68883</v>
      </c>
      <c r="H95" s="59">
        <f t="shared" si="1946"/>
        <v>61994.699999999997</v>
      </c>
      <c r="I95" s="59">
        <f t="shared" si="1934"/>
        <v>0</v>
      </c>
      <c r="J95" s="59">
        <f t="shared" si="1935"/>
        <v>0</v>
      </c>
      <c r="K95" s="59">
        <f t="shared" si="1936"/>
        <v>0</v>
      </c>
      <c r="L95" s="59">
        <f t="shared" si="1937"/>
        <v>61994.699999999997</v>
      </c>
      <c r="M95" s="59">
        <f t="shared" si="1938"/>
        <v>0</v>
      </c>
      <c r="N95" s="59">
        <v>3634</v>
      </c>
      <c r="O95" s="59">
        <v>3291</v>
      </c>
      <c r="P95" s="59">
        <f t="shared" si="1952"/>
        <v>0</v>
      </c>
      <c r="Q95" s="59"/>
      <c r="R95" s="59"/>
      <c r="S95" s="59"/>
      <c r="T95" s="59"/>
      <c r="U95" s="59">
        <v>1830</v>
      </c>
      <c r="V95" s="59">
        <f t="shared" si="1953"/>
        <v>662.94570714025099</v>
      </c>
      <c r="W95" s="59">
        <v>14061.77</v>
      </c>
      <c r="X95" s="62">
        <f t="shared" si="1954"/>
        <v>0.25766739497371299</v>
      </c>
      <c r="Y95" s="62">
        <f t="shared" si="1955"/>
        <v>1.86852664813088</v>
      </c>
      <c r="Z95" s="62">
        <f t="shared" si="1966"/>
        <v>1.86852664813088</v>
      </c>
      <c r="AA95" s="59">
        <f t="shared" si="1957"/>
        <v>148.02644674521801</v>
      </c>
      <c r="AB95" s="59">
        <v>2349.203</v>
      </c>
      <c r="AC95" s="59">
        <f t="shared" si="1958"/>
        <v>29.638291938609601</v>
      </c>
      <c r="AD95" s="59"/>
      <c r="AE95" s="59"/>
      <c r="AF95" s="59">
        <v>19</v>
      </c>
      <c r="AG95" s="59">
        <f t="shared" si="1939"/>
        <v>19</v>
      </c>
      <c r="AH95" s="59">
        <f t="shared" si="1959"/>
        <v>32.032064343163498</v>
      </c>
      <c r="AI95" s="59">
        <v>1</v>
      </c>
      <c r="AJ95" s="59">
        <f t="shared" si="1940"/>
        <v>1</v>
      </c>
      <c r="AK95" s="59">
        <f t="shared" si="1960"/>
        <v>68.236902902970996</v>
      </c>
      <c r="AL95" s="338"/>
      <c r="AM95" s="59"/>
      <c r="AN95" s="59">
        <v>3000</v>
      </c>
      <c r="AO95" s="62"/>
      <c r="AP95" s="62"/>
      <c r="AQ95" s="59"/>
      <c r="AR95" s="59"/>
      <c r="AS95" s="59"/>
      <c r="AT95" s="189">
        <f>VLOOKUP(B:B,综合进度!B:N,13,0)</f>
        <v>1.2006679896934099e-002</v>
      </c>
      <c r="AU95" s="59">
        <f t="shared" si="1961"/>
        <v>71.727665570686497</v>
      </c>
      <c r="AV95" s="59"/>
      <c r="AW95" s="59"/>
      <c r="AX95" s="59">
        <f t="shared" si="1962"/>
        <v>4013</v>
      </c>
      <c r="AY95" s="59">
        <v>2540</v>
      </c>
      <c r="AZ95" s="59">
        <f t="shared" si="1963"/>
        <v>2377.2964000761499</v>
      </c>
      <c r="BA95" s="59">
        <f t="shared" si="1964"/>
        <v>1635.7035999238501</v>
      </c>
      <c r="BB95" s="43">
        <f t="shared" si="1933"/>
        <v>0.68805202408562105</v>
      </c>
      <c r="BC95" s="50">
        <v>-11996</v>
      </c>
      <c r="BD95" s="50">
        <f t="shared" si="1965"/>
        <v>-10360.2964000761</v>
      </c>
      <c r="BG95" s="340"/>
    </row>
    <row r="96" ht="17" customHeight="1">
      <c r="A96" s="46">
        <v>61</v>
      </c>
      <c r="B96" s="82" t="s">
        <v>142</v>
      </c>
      <c r="C96" s="46" t="s">
        <v>93</v>
      </c>
      <c r="D96" s="46">
        <v>2019</v>
      </c>
      <c r="E96" s="46" t="s">
        <v>94</v>
      </c>
      <c r="F96" s="46" t="s">
        <v>146</v>
      </c>
      <c r="G96" s="73">
        <v>83326</v>
      </c>
      <c r="H96" s="59">
        <f t="shared" si="1946"/>
        <v>74993.399999999994</v>
      </c>
      <c r="I96" s="59">
        <f t="shared" si="1934"/>
        <v>0</v>
      </c>
      <c r="J96" s="59">
        <f t="shared" si="1935"/>
        <v>0</v>
      </c>
      <c r="K96" s="59">
        <f t="shared" si="1936"/>
        <v>0</v>
      </c>
      <c r="L96" s="59">
        <f t="shared" si="1937"/>
        <v>74993.399999999994</v>
      </c>
      <c r="M96" s="59">
        <f t="shared" si="1938"/>
        <v>0</v>
      </c>
      <c r="N96" s="59">
        <v>13090</v>
      </c>
      <c r="O96" s="59">
        <v>4689</v>
      </c>
      <c r="P96" s="59">
        <f t="shared" si="1952"/>
        <v>2421.5999999999999</v>
      </c>
      <c r="Q96" s="59">
        <v>0</v>
      </c>
      <c r="R96" s="59">
        <v>3027</v>
      </c>
      <c r="S96" s="59"/>
      <c r="T96" s="59"/>
      <c r="U96" s="59">
        <v>2613</v>
      </c>
      <c r="V96" s="59">
        <f t="shared" si="1953"/>
        <v>1312.30722330036</v>
      </c>
      <c r="W96" s="59">
        <v>11158.030000000001</v>
      </c>
      <c r="X96" s="62">
        <f t="shared" si="1954"/>
        <v>0.72623777234864495</v>
      </c>
      <c r="Y96" s="62">
        <f t="shared" si="1955"/>
        <v>7.0020941058766999</v>
      </c>
      <c r="Z96" s="62">
        <f t="shared" si="1966"/>
        <v>7.0020941058766999</v>
      </c>
      <c r="AA96" s="59">
        <f t="shared" si="1957"/>
        <v>554.71251175646103</v>
      </c>
      <c r="AB96" s="59">
        <v>9406.4346000000005</v>
      </c>
      <c r="AC96" s="59">
        <f t="shared" si="1958"/>
        <v>118.67456953538699</v>
      </c>
      <c r="AD96" s="59"/>
      <c r="AE96" s="59"/>
      <c r="AF96" s="59">
        <v>34</v>
      </c>
      <c r="AG96" s="59">
        <f t="shared" si="1939"/>
        <v>34</v>
      </c>
      <c r="AH96" s="59">
        <f t="shared" si="1959"/>
        <v>57.320536193029497</v>
      </c>
      <c r="AI96" s="59">
        <v>1</v>
      </c>
      <c r="AJ96" s="59">
        <f t="shared" si="1940"/>
        <v>1</v>
      </c>
      <c r="AK96" s="59">
        <f t="shared" si="1960"/>
        <v>68.236902902970996</v>
      </c>
      <c r="AL96" s="338"/>
      <c r="AM96" s="59"/>
      <c r="AN96" s="59">
        <v>1000</v>
      </c>
      <c r="AO96" s="62"/>
      <c r="AP96" s="62"/>
      <c r="AQ96" s="59"/>
      <c r="AR96" s="59"/>
      <c r="AS96" s="59"/>
      <c r="AT96" s="189">
        <f>VLOOKUP(B:B,综合进度!B:N,13,0)</f>
        <v>1.07047504360728e-002</v>
      </c>
      <c r="AU96" s="59">
        <f t="shared" si="1961"/>
        <v>63.949965010089898</v>
      </c>
      <c r="AV96" s="59"/>
      <c r="AW96" s="59"/>
      <c r="AX96" s="59">
        <f t="shared" si="1962"/>
        <v>3175</v>
      </c>
      <c r="AY96" s="59">
        <v>2289</v>
      </c>
      <c r="AZ96" s="59">
        <f t="shared" si="1963"/>
        <v>2142.3745904623202</v>
      </c>
      <c r="BA96" s="59">
        <f t="shared" si="1964"/>
        <v>1032.6254095376801</v>
      </c>
      <c r="BB96" s="43">
        <f t="shared" si="1933"/>
        <v>0.48200039999299898</v>
      </c>
      <c r="BC96" s="50">
        <v>2140</v>
      </c>
      <c r="BD96" s="50">
        <f t="shared" si="1965"/>
        <v>3172.6254095376798</v>
      </c>
      <c r="BF96" s="84"/>
      <c r="BG96" s="339"/>
    </row>
    <row r="97" ht="17" customHeight="1">
      <c r="A97" s="46">
        <v>62</v>
      </c>
      <c r="B97" s="82" t="s">
        <v>143</v>
      </c>
      <c r="C97" s="46" t="s">
        <v>90</v>
      </c>
      <c r="D97" s="46">
        <v>2019</v>
      </c>
      <c r="E97" s="46" t="s">
        <v>91</v>
      </c>
      <c r="F97" s="46"/>
      <c r="G97" s="73">
        <v>72985</v>
      </c>
      <c r="H97" s="59">
        <f t="shared" si="1946"/>
        <v>65686.5</v>
      </c>
      <c r="I97" s="59">
        <f t="shared" si="1934"/>
        <v>0</v>
      </c>
      <c r="J97" s="59">
        <f t="shared" si="1935"/>
        <v>0</v>
      </c>
      <c r="K97" s="59">
        <f t="shared" si="1936"/>
        <v>0</v>
      </c>
      <c r="L97" s="59">
        <f t="shared" si="1937"/>
        <v>65686.5</v>
      </c>
      <c r="M97" s="59">
        <f t="shared" si="1938"/>
        <v>0</v>
      </c>
      <c r="N97" s="59">
        <v>10766</v>
      </c>
      <c r="O97" s="59">
        <v>3714</v>
      </c>
      <c r="P97" s="59">
        <f t="shared" si="1952"/>
        <v>1110</v>
      </c>
      <c r="Q97" s="59">
        <v>1850</v>
      </c>
      <c r="R97" s="59"/>
      <c r="S97" s="59"/>
      <c r="T97" s="59"/>
      <c r="U97" s="59">
        <v>1723</v>
      </c>
      <c r="V97" s="59">
        <f t="shared" si="1953"/>
        <v>1062.55464962478</v>
      </c>
      <c r="W97" s="59">
        <v>11824.01</v>
      </c>
      <c r="X97" s="62">
        <f t="shared" si="1954"/>
        <v>0.61876998944654005</v>
      </c>
      <c r="Y97" s="62">
        <f t="shared" si="1955"/>
        <v>5.1822605386137202</v>
      </c>
      <c r="Z97" s="62">
        <f t="shared" si="1966"/>
        <v>5.1822605386137202</v>
      </c>
      <c r="AA97" s="59">
        <f t="shared" si="1957"/>
        <v>410.54357689054302</v>
      </c>
      <c r="AB97" s="59">
        <v>2098.23</v>
      </c>
      <c r="AC97" s="59">
        <f t="shared" si="1958"/>
        <v>26.471936777855699</v>
      </c>
      <c r="AD97" s="59"/>
      <c r="AE97" s="59"/>
      <c r="AF97" s="59">
        <v>46</v>
      </c>
      <c r="AG97" s="59">
        <f t="shared" si="1939"/>
        <v>46</v>
      </c>
      <c r="AH97" s="59">
        <f t="shared" si="1959"/>
        <v>77.551313672922305</v>
      </c>
      <c r="AI97" s="59">
        <v>1</v>
      </c>
      <c r="AJ97" s="59">
        <f t="shared" si="1940"/>
        <v>1</v>
      </c>
      <c r="AK97" s="59">
        <f t="shared" si="1960"/>
        <v>68.236902902970996</v>
      </c>
      <c r="AL97" s="338"/>
      <c r="AM97" s="59"/>
      <c r="AN97" s="59">
        <v>3000</v>
      </c>
      <c r="AO97" s="62"/>
      <c r="AP97" s="62"/>
      <c r="AQ97" s="59"/>
      <c r="AR97" s="59"/>
      <c r="AS97" s="59"/>
      <c r="AT97" s="189">
        <f>VLOOKUP(B:B,综合进度!B:N,13,0)</f>
        <v>7.4054659999760498e-003</v>
      </c>
      <c r="AU97" s="59">
        <f t="shared" si="1961"/>
        <v>44.2401057745369</v>
      </c>
      <c r="AV97" s="59"/>
      <c r="AW97" s="59"/>
      <c r="AX97" s="59">
        <f t="shared" si="1962"/>
        <v>4690</v>
      </c>
      <c r="AY97" s="59">
        <v>1458</v>
      </c>
      <c r="AZ97" s="59">
        <f t="shared" si="1963"/>
        <v>1364.60557138229</v>
      </c>
      <c r="BA97" s="59">
        <f t="shared" si="1964"/>
        <v>3325.3944286177102</v>
      </c>
      <c r="BB97" s="43">
        <f t="shared" si="1933"/>
        <v>2.43689055530472</v>
      </c>
      <c r="BC97" s="50">
        <v>-1327</v>
      </c>
      <c r="BD97" s="50">
        <f t="shared" si="1965"/>
        <v>1998.39442861771</v>
      </c>
      <c r="BG97" s="340"/>
    </row>
    <row r="98" s="5" customFormat="1" ht="17" customHeight="1">
      <c r="A98" s="46">
        <v>63</v>
      </c>
      <c r="B98" s="82" t="s">
        <v>144</v>
      </c>
      <c r="C98" s="46" t="s">
        <v>93</v>
      </c>
      <c r="D98" s="46">
        <v>2020</v>
      </c>
      <c r="E98" s="46" t="s">
        <v>94</v>
      </c>
      <c r="F98" s="46"/>
      <c r="G98" s="73">
        <v>140758</v>
      </c>
      <c r="H98" s="59">
        <f t="shared" si="1946"/>
        <v>140758</v>
      </c>
      <c r="I98" s="59">
        <f t="shared" si="1934"/>
        <v>0</v>
      </c>
      <c r="J98" s="59">
        <f t="shared" si="1935"/>
        <v>0</v>
      </c>
      <c r="K98" s="59">
        <f t="shared" si="1936"/>
        <v>0</v>
      </c>
      <c r="L98" s="59">
        <f t="shared" si="1937"/>
        <v>0</v>
      </c>
      <c r="M98" s="59">
        <f t="shared" si="1938"/>
        <v>140758</v>
      </c>
      <c r="N98" s="59">
        <v>20841</v>
      </c>
      <c r="O98" s="59">
        <v>9715</v>
      </c>
      <c r="P98" s="59">
        <f t="shared" si="1952"/>
        <v>4907.1999999999998</v>
      </c>
      <c r="Q98" s="59">
        <v>0</v>
      </c>
      <c r="R98" s="59">
        <v>6134</v>
      </c>
      <c r="S98" s="59"/>
      <c r="T98" s="59"/>
      <c r="U98" s="59">
        <v>0</v>
      </c>
      <c r="V98" s="59">
        <f t="shared" si="1953"/>
        <v>2036.87608593493</v>
      </c>
      <c r="W98" s="59">
        <v>12885.940000000001</v>
      </c>
      <c r="X98" s="62">
        <f t="shared" si="1954"/>
        <v>0.44740859316252002</v>
      </c>
      <c r="Y98" s="62">
        <f t="shared" si="1955"/>
        <v>7.2300781246470098</v>
      </c>
      <c r="Z98" s="62">
        <f t="shared" si="1966"/>
        <v>7.2300781246470098</v>
      </c>
      <c r="AA98" s="59">
        <f t="shared" si="1957"/>
        <v>572.77362115890003</v>
      </c>
      <c r="AB98" s="59">
        <v>5026.9567999999999</v>
      </c>
      <c r="AC98" s="59">
        <f t="shared" si="1958"/>
        <v>63.421685227363902</v>
      </c>
      <c r="AD98" s="59"/>
      <c r="AE98" s="59"/>
      <c r="AF98" s="59">
        <v>34</v>
      </c>
      <c r="AG98" s="59">
        <f t="shared" si="1939"/>
        <v>34</v>
      </c>
      <c r="AH98" s="59">
        <f t="shared" si="1959"/>
        <v>57.320536193029497</v>
      </c>
      <c r="AI98" s="59">
        <v>0.85943204868154199</v>
      </c>
      <c r="AJ98" s="59">
        <f t="shared" si="1940"/>
        <v>0.85943204868154199</v>
      </c>
      <c r="AK98" s="59">
        <f t="shared" si="1960"/>
        <v>58.644981257583801</v>
      </c>
      <c r="AL98" s="338"/>
      <c r="AM98" s="59"/>
      <c r="AN98" s="59">
        <v>1000</v>
      </c>
      <c r="AO98" s="62"/>
      <c r="AP98" s="62"/>
      <c r="AQ98" s="59"/>
      <c r="AR98" s="59"/>
      <c r="AS98" s="59"/>
      <c r="AT98" s="189">
        <f>VLOOKUP(B:B,综合进度!B:N,13,0)</f>
        <v>1.9984983353216301e-002</v>
      </c>
      <c r="AU98" s="59">
        <f t="shared" si="1961"/>
        <v>119.389890852447</v>
      </c>
      <c r="AV98" s="59"/>
      <c r="AW98" s="59"/>
      <c r="AX98" s="59">
        <f t="shared" si="1962"/>
        <v>3908</v>
      </c>
      <c r="AY98" s="59">
        <v>10474</v>
      </c>
      <c r="AZ98" s="59">
        <f t="shared" si="1963"/>
        <v>9803.0718481880194</v>
      </c>
      <c r="BA98" s="59">
        <f t="shared" si="1964"/>
        <v>-5895.0718481880203</v>
      </c>
      <c r="BB98" s="43">
        <f t="shared" si="1933"/>
        <v>-0.601349448364765</v>
      </c>
      <c r="BC98" s="50">
        <v>61</v>
      </c>
      <c r="BD98" s="50">
        <f t="shared" si="1965"/>
        <v>-5834.0718481880203</v>
      </c>
      <c r="BF98" s="341"/>
      <c r="BG98" s="339"/>
    </row>
    <row r="99" ht="17" customHeight="1">
      <c r="A99" s="46">
        <v>64</v>
      </c>
      <c r="B99" s="82" t="s">
        <v>145</v>
      </c>
      <c r="C99" s="46" t="s">
        <v>90</v>
      </c>
      <c r="D99" s="46">
        <v>2019</v>
      </c>
      <c r="E99" s="46" t="s">
        <v>91</v>
      </c>
      <c r="F99" s="46" t="s">
        <v>146</v>
      </c>
      <c r="G99" s="73">
        <v>61080</v>
      </c>
      <c r="H99" s="59">
        <f t="shared" si="1946"/>
        <v>54972</v>
      </c>
      <c r="I99" s="59">
        <f t="shared" si="1934"/>
        <v>0</v>
      </c>
      <c r="J99" s="59">
        <f t="shared" si="1935"/>
        <v>0</v>
      </c>
      <c r="K99" s="59">
        <f t="shared" si="1936"/>
        <v>0</v>
      </c>
      <c r="L99" s="59">
        <f t="shared" si="1937"/>
        <v>54972</v>
      </c>
      <c r="M99" s="59">
        <f t="shared" si="1938"/>
        <v>0</v>
      </c>
      <c r="N99" s="59">
        <v>4140</v>
      </c>
      <c r="O99" s="59">
        <v>5009</v>
      </c>
      <c r="P99" s="59">
        <f t="shared" si="1952"/>
        <v>1117.8</v>
      </c>
      <c r="Q99" s="59">
        <v>1863</v>
      </c>
      <c r="R99" s="59"/>
      <c r="S99" s="59"/>
      <c r="T99" s="59"/>
      <c r="U99" s="59">
        <v>1697</v>
      </c>
      <c r="V99" s="59">
        <f t="shared" si="1953"/>
        <v>663.21455011536796</v>
      </c>
      <c r="W99" s="59">
        <v>11752.120000000001</v>
      </c>
      <c r="X99" s="62">
        <f t="shared" si="1954"/>
        <v>0.63037072657503102</v>
      </c>
      <c r="Y99" s="62">
        <f t="shared" si="1955"/>
        <v>4.1112778787223503</v>
      </c>
      <c r="Z99" s="62">
        <f t="shared" si="1966"/>
        <v>4.1112778787223503</v>
      </c>
      <c r="AA99" s="59">
        <f t="shared" si="1957"/>
        <v>325.69931853969501</v>
      </c>
      <c r="AB99" s="59">
        <v>2035.8699999999999</v>
      </c>
      <c r="AC99" s="59">
        <f t="shared" si="1958"/>
        <v>25.6851831915152</v>
      </c>
      <c r="AD99" s="59"/>
      <c r="AE99" s="59"/>
      <c r="AF99" s="59">
        <v>21</v>
      </c>
      <c r="AG99" s="59">
        <f t="shared" si="1939"/>
        <v>21</v>
      </c>
      <c r="AH99" s="59">
        <f t="shared" si="1959"/>
        <v>35.403860589812297</v>
      </c>
      <c r="AI99" s="59">
        <v>0.98442221177734501</v>
      </c>
      <c r="AJ99" s="59">
        <f t="shared" si="1940"/>
        <v>0.98442221177734501</v>
      </c>
      <c r="AK99" s="59">
        <f t="shared" si="1960"/>
        <v>67.173922880578601</v>
      </c>
      <c r="AL99" s="338"/>
      <c r="AM99" s="59"/>
      <c r="AN99" s="59">
        <v>3000</v>
      </c>
      <c r="AO99" s="62"/>
      <c r="AP99" s="62"/>
      <c r="AQ99" s="59"/>
      <c r="AR99" s="59"/>
      <c r="AS99" s="59"/>
      <c r="AT99" s="189">
        <f>VLOOKUP(B:B,综合进度!B:N,13,0)</f>
        <v>7.0708857557683904e-003</v>
      </c>
      <c r="AU99" s="59">
        <f t="shared" si="1961"/>
        <v>42.241330087245203</v>
      </c>
      <c r="AV99" s="59"/>
      <c r="AW99" s="59"/>
      <c r="AX99" s="59">
        <f t="shared" si="1962"/>
        <v>4159</v>
      </c>
      <c r="AY99" s="59">
        <v>1545</v>
      </c>
      <c r="AZ99" s="59">
        <f t="shared" si="1963"/>
        <v>1446.0326528022199</v>
      </c>
      <c r="BA99" s="59">
        <f t="shared" si="1964"/>
        <v>2712.9673471977799</v>
      </c>
      <c r="BB99" s="43">
        <f t="shared" si="1933"/>
        <v>1.8761452875496301</v>
      </c>
      <c r="BC99" s="50">
        <v>-3986</v>
      </c>
      <c r="BD99" s="50">
        <f t="shared" si="1965"/>
        <v>-1273.0326528022199</v>
      </c>
      <c r="BG99" s="340"/>
    </row>
    <row r="100" s="5" customFormat="1" ht="17" customHeight="1">
      <c r="A100" s="65"/>
      <c r="B100" s="66" t="s">
        <v>147</v>
      </c>
      <c r="C100" s="67">
        <v>1</v>
      </c>
      <c r="D100" s="67"/>
      <c r="E100" s="67"/>
      <c r="F100" s="68"/>
      <c r="G100" s="69">
        <f>G101+G102</f>
        <v>553461</v>
      </c>
      <c r="H100" s="69">
        <f>H101+H102</f>
        <v>496109</v>
      </c>
      <c r="I100" s="69">
        <f t="shared" ref="I100:U100" si="1967">I101+I102</f>
        <v>9933.6000000000004</v>
      </c>
      <c r="J100" s="69">
        <f t="shared" si="1967"/>
        <v>9233</v>
      </c>
      <c r="K100" s="69">
        <f t="shared" si="1967"/>
        <v>112238.39999999999</v>
      </c>
      <c r="L100" s="69">
        <f t="shared" si="1967"/>
        <v>168417</v>
      </c>
      <c r="M100" s="69">
        <f t="shared" si="1967"/>
        <v>196287</v>
      </c>
      <c r="N100" s="69">
        <f t="shared" si="1967"/>
        <v>83924</v>
      </c>
      <c r="O100" s="69">
        <f t="shared" si="1967"/>
        <v>81805</v>
      </c>
      <c r="P100" s="69">
        <f t="shared" si="1967"/>
        <v>3602.4000000000001</v>
      </c>
      <c r="Q100" s="59">
        <v>6004</v>
      </c>
      <c r="R100" s="69">
        <f>R101+R102</f>
        <v>0</v>
      </c>
      <c r="S100" s="69">
        <f>S101+S102</f>
        <v>0</v>
      </c>
      <c r="T100" s="69">
        <f>T101+T102</f>
        <v>0</v>
      </c>
      <c r="U100" s="69">
        <f>U101+U102</f>
        <v>12124</v>
      </c>
      <c r="V100" s="69">
        <f>V101+V102</f>
        <v>8000.4032071948304</v>
      </c>
      <c r="W100" s="69"/>
      <c r="X100" s="69">
        <f t="shared" ref="X100:AE100" si="1968">X101+X102</f>
        <v>5.9942908042898004</v>
      </c>
      <c r="Y100" s="69">
        <f t="shared" si="1968"/>
        <v>38.956899135390898</v>
      </c>
      <c r="Z100" s="69">
        <f t="shared" si="1968"/>
        <v>34.4361887153987</v>
      </c>
      <c r="AA100" s="69">
        <f t="shared" si="1968"/>
        <v>2728.0674108059002</v>
      </c>
      <c r="AB100" s="69">
        <f t="shared" si="1968"/>
        <v>95831.279999999999</v>
      </c>
      <c r="AC100" s="69">
        <f t="shared" si="1968"/>
        <v>1209.0378964655799</v>
      </c>
      <c r="AD100" s="69"/>
      <c r="AE100" s="69"/>
      <c r="AF100" s="69">
        <f t="shared" ref="AF100:AS100" si="1969">AF101+AF102</f>
        <v>244</v>
      </c>
      <c r="AG100" s="69">
        <f t="shared" si="1969"/>
        <v>234</v>
      </c>
      <c r="AH100" s="69">
        <f t="shared" si="1969"/>
        <v>394.50016085790901</v>
      </c>
      <c r="AI100" s="69">
        <f t="shared" si="1969"/>
        <v>9.2901645398063799</v>
      </c>
      <c r="AJ100" s="69">
        <f t="shared" si="1969"/>
        <v>8.8601664789182699</v>
      </c>
      <c r="AK100" s="69">
        <f t="shared" si="1969"/>
        <v>604.59031972610398</v>
      </c>
      <c r="AL100" s="69"/>
      <c r="AM100" s="69"/>
      <c r="AN100" s="69">
        <f t="shared" si="1969"/>
        <v>16000</v>
      </c>
      <c r="AO100" s="69"/>
      <c r="AP100" s="69"/>
      <c r="AQ100" s="69">
        <f t="shared" ref="AO100:AT100" si="1970">AQ101+AQ102</f>
        <v>0</v>
      </c>
      <c r="AR100" s="69"/>
      <c r="AS100" s="69">
        <f t="shared" si="1970"/>
        <v>0</v>
      </c>
      <c r="AT100" s="403">
        <f t="shared" si="1970"/>
        <v>7.7619547827529806e-002</v>
      </c>
      <c r="AU100" s="69">
        <f t="shared" ref="AS100:BA100" si="1971">AU101+AU102</f>
        <v>463.69762633070599</v>
      </c>
      <c r="AV100" s="69"/>
      <c r="AW100" s="71"/>
      <c r="AX100" s="69">
        <f t="shared" si="1971"/>
        <v>29400</v>
      </c>
      <c r="AY100" s="69">
        <v>38744</v>
      </c>
      <c r="AZ100" s="69">
        <f t="shared" si="1971"/>
        <v>36262.193592342599</v>
      </c>
      <c r="BA100" s="69">
        <f t="shared" si="1971"/>
        <v>-6862.1935923426099</v>
      </c>
      <c r="BB100" s="336">
        <f t="shared" si="1933"/>
        <v>-0.18923823719786401</v>
      </c>
      <c r="BC100" s="404">
        <v>-9883</v>
      </c>
      <c r="BD100" s="69">
        <f>BD101+BD102</f>
        <v>-16869.193592342599</v>
      </c>
      <c r="BG100" s="340"/>
    </row>
    <row r="101" s="5" customFormat="1" ht="17" customHeight="1">
      <c r="A101" s="44"/>
      <c r="B101" s="72" t="s">
        <v>148</v>
      </c>
      <c r="C101" s="46">
        <v>2</v>
      </c>
      <c r="D101" s="46"/>
      <c r="E101" s="46"/>
      <c r="F101" s="46"/>
      <c r="G101" s="73"/>
      <c r="H101" s="59">
        <f t="shared" ref="H101:H112" si="1972">SUM(I101:M101)</f>
        <v>0</v>
      </c>
      <c r="I101" s="59">
        <f t="shared" si="1934"/>
        <v>0</v>
      </c>
      <c r="J101" s="59">
        <f t="shared" si="1935"/>
        <v>0</v>
      </c>
      <c r="K101" s="59">
        <f t="shared" si="1936"/>
        <v>0</v>
      </c>
      <c r="L101" s="59">
        <f t="shared" si="1937"/>
        <v>0</v>
      </c>
      <c r="M101" s="59">
        <f t="shared" si="1938"/>
        <v>0</v>
      </c>
      <c r="N101" s="59"/>
      <c r="O101" s="59"/>
      <c r="P101" s="59">
        <f>L101*0.4+M101*0.6+N101*0.8+O101*1</f>
        <v>0</v>
      </c>
      <c r="Q101" s="59"/>
      <c r="R101" s="59"/>
      <c r="S101" s="59"/>
      <c r="T101" s="59"/>
      <c r="U101" s="59"/>
      <c r="V101" s="59">
        <f>H101/$H$9*134866+N101/$N$9*202299+P101/$P$9*100000+U101/$U$9*34867</f>
        <v>0</v>
      </c>
      <c r="W101" s="59"/>
      <c r="X101" s="62"/>
      <c r="Y101" s="62"/>
      <c r="Z101" s="62"/>
      <c r="AA101" s="59"/>
      <c r="AB101" s="59"/>
      <c r="AC101" s="59"/>
      <c r="AD101" s="59"/>
      <c r="AE101" s="59"/>
      <c r="AF101" s="59"/>
      <c r="AG101" s="59">
        <f t="shared" si="1939"/>
        <v>0</v>
      </c>
      <c r="AH101" s="59">
        <f>AG101/$AG$9*40459.89</f>
        <v>0</v>
      </c>
      <c r="AI101" s="59"/>
      <c r="AJ101" s="59">
        <f t="shared" si="1940"/>
        <v>0</v>
      </c>
      <c r="AK101" s="59">
        <f>AJ101/$AJ$9*40459.89</f>
        <v>0</v>
      </c>
      <c r="AL101" s="59"/>
      <c r="AM101" s="59"/>
      <c r="AN101" s="59"/>
      <c r="AO101" s="62"/>
      <c r="AP101" s="62"/>
      <c r="AQ101" s="59"/>
      <c r="AR101" s="59"/>
      <c r="AS101" s="59"/>
      <c r="AT101" s="189"/>
      <c r="AU101" s="59"/>
      <c r="AV101" s="59"/>
      <c r="AW101" s="59"/>
      <c r="AX101" s="59">
        <f>V101+AA101+AC101+AE101+AH101+AK101+AM101+AN101+AQ101+AS101+AU101+AW101</f>
        <v>0</v>
      </c>
      <c r="AY101" s="59"/>
      <c r="AZ101" s="170"/>
      <c r="BA101" s="50"/>
      <c r="BB101" s="43"/>
      <c r="BC101" s="50">
        <v>124</v>
      </c>
      <c r="BD101" s="50"/>
      <c r="BG101" s="340"/>
    </row>
    <row r="102" s="5" customFormat="1" ht="17" customHeight="1">
      <c r="A102" s="75"/>
      <c r="B102" s="76" t="s">
        <v>76</v>
      </c>
      <c r="C102" s="77">
        <v>3</v>
      </c>
      <c r="D102" s="77"/>
      <c r="E102" s="77"/>
      <c r="F102" s="78"/>
      <c r="G102" s="79">
        <f>SUM(G103:G112)</f>
        <v>553461</v>
      </c>
      <c r="H102" s="79">
        <f>SUM(H103:H112)</f>
        <v>496109</v>
      </c>
      <c r="I102" s="79">
        <f t="shared" ref="I102:U102" si="1973">SUM(I103:I112)</f>
        <v>9933.6000000000004</v>
      </c>
      <c r="J102" s="79">
        <f t="shared" si="1973"/>
        <v>9233</v>
      </c>
      <c r="K102" s="79">
        <f t="shared" si="1973"/>
        <v>112238.39999999999</v>
      </c>
      <c r="L102" s="79">
        <f t="shared" si="1973"/>
        <v>168417</v>
      </c>
      <c r="M102" s="79">
        <f t="shared" si="1973"/>
        <v>196287</v>
      </c>
      <c r="N102" s="79">
        <f t="shared" si="1973"/>
        <v>83924</v>
      </c>
      <c r="O102" s="79">
        <f t="shared" si="1973"/>
        <v>81805</v>
      </c>
      <c r="P102" s="79">
        <f t="shared" si="1973"/>
        <v>3602.4000000000001</v>
      </c>
      <c r="Q102" s="59">
        <v>6004</v>
      </c>
      <c r="R102" s="79">
        <f>SUM(R103:R112)</f>
        <v>0</v>
      </c>
      <c r="S102" s="79">
        <f>SUM(S103:S112)</f>
        <v>0</v>
      </c>
      <c r="T102" s="79">
        <f>SUM(T103:T112)</f>
        <v>0</v>
      </c>
      <c r="U102" s="79">
        <f>SUM(U103:U112)</f>
        <v>12124</v>
      </c>
      <c r="V102" s="79">
        <f>SUM(V103:V112)</f>
        <v>8000.4032071948304</v>
      </c>
      <c r="W102" s="79"/>
      <c r="X102" s="79">
        <f t="shared" ref="X102:AE102" si="1974">SUM(X103:X112)</f>
        <v>5.9942908042898004</v>
      </c>
      <c r="Y102" s="79">
        <f t="shared" si="1974"/>
        <v>38.956899135390898</v>
      </c>
      <c r="Z102" s="79">
        <f t="shared" si="1974"/>
        <v>34.4361887153987</v>
      </c>
      <c r="AA102" s="79">
        <f t="shared" si="1974"/>
        <v>2728.0674108059002</v>
      </c>
      <c r="AB102" s="79">
        <f t="shared" si="1974"/>
        <v>95831.279999999999</v>
      </c>
      <c r="AC102" s="79">
        <f t="shared" si="1974"/>
        <v>1209.0378964655799</v>
      </c>
      <c r="AD102" s="79"/>
      <c r="AE102" s="79"/>
      <c r="AF102" s="79">
        <f t="shared" ref="AF102:AS102" si="1975">SUM(AF103:AF112)</f>
        <v>244</v>
      </c>
      <c r="AG102" s="59">
        <f t="shared" si="1975"/>
        <v>234</v>
      </c>
      <c r="AH102" s="59">
        <f t="shared" si="1975"/>
        <v>394.50016085790901</v>
      </c>
      <c r="AI102" s="79">
        <f t="shared" si="1975"/>
        <v>9.2901645398063799</v>
      </c>
      <c r="AJ102" s="59">
        <f t="shared" si="1975"/>
        <v>8.8601664789182699</v>
      </c>
      <c r="AK102" s="59">
        <f t="shared" si="1975"/>
        <v>604.59031972610398</v>
      </c>
      <c r="AL102" s="79"/>
      <c r="AM102" s="79"/>
      <c r="AN102" s="79">
        <f t="shared" si="1975"/>
        <v>16000</v>
      </c>
      <c r="AO102" s="79"/>
      <c r="AP102" s="79"/>
      <c r="AQ102" s="79">
        <f t="shared" ref="AO102:AT102" si="1976">SUM(AQ103:AQ112)</f>
        <v>0</v>
      </c>
      <c r="AR102" s="79"/>
      <c r="AS102" s="79">
        <f t="shared" si="1976"/>
        <v>0</v>
      </c>
      <c r="AT102" s="405">
        <f t="shared" si="1976"/>
        <v>7.7619547827529806e-002</v>
      </c>
      <c r="AU102" s="79">
        <f t="shared" ref="AS102:BA102" si="1977">SUM(AU103:AU112)</f>
        <v>463.69762633070599</v>
      </c>
      <c r="AV102" s="79"/>
      <c r="AW102" s="81"/>
      <c r="AX102" s="79">
        <f t="shared" si="1977"/>
        <v>29400</v>
      </c>
      <c r="AY102" s="79">
        <v>38744</v>
      </c>
      <c r="AZ102" s="79">
        <f t="shared" si="1977"/>
        <v>36262.193592342599</v>
      </c>
      <c r="BA102" s="79">
        <f t="shared" si="1977"/>
        <v>-6862.1935923426099</v>
      </c>
      <c r="BB102" s="337">
        <f t="shared" ref="BB102:BB165" si="1978">BA102/AZ102</f>
        <v>-0.18923823719786401</v>
      </c>
      <c r="BC102" s="406">
        <v>-10007</v>
      </c>
      <c r="BD102" s="79">
        <f>SUM(BD103:BD112)</f>
        <v>-16869.193592342599</v>
      </c>
      <c r="BG102" s="340"/>
    </row>
    <row r="103" ht="17" customHeight="1">
      <c r="A103" s="46">
        <v>65</v>
      </c>
      <c r="B103" s="82" t="s">
        <v>149</v>
      </c>
      <c r="C103" s="46" t="s">
        <v>78</v>
      </c>
      <c r="D103" s="46"/>
      <c r="E103" s="46"/>
      <c r="F103" s="46"/>
      <c r="G103" s="73">
        <v>16556</v>
      </c>
      <c r="H103" s="59">
        <f t="shared" si="1972"/>
        <v>9933.6000000000004</v>
      </c>
      <c r="I103" s="59">
        <f t="shared" si="1934"/>
        <v>9933.6000000000004</v>
      </c>
      <c r="J103" s="59">
        <f t="shared" si="1935"/>
        <v>0</v>
      </c>
      <c r="K103" s="59">
        <f t="shared" si="1936"/>
        <v>0</v>
      </c>
      <c r="L103" s="59">
        <f t="shared" si="1937"/>
        <v>0</v>
      </c>
      <c r="M103" s="59">
        <f t="shared" si="1938"/>
        <v>0</v>
      </c>
      <c r="N103" s="59">
        <v>1047</v>
      </c>
      <c r="O103" s="59">
        <v>1715</v>
      </c>
      <c r="P103" s="59">
        <f t="shared" ref="P103:P112" si="1979">Q103*0.6+R103*0.8+S103*1+T103*1.25</f>
        <v>717</v>
      </c>
      <c r="Q103" s="59">
        <v>1195</v>
      </c>
      <c r="R103" s="59"/>
      <c r="S103" s="59"/>
      <c r="T103" s="59"/>
      <c r="U103" s="59">
        <v>448</v>
      </c>
      <c r="V103" s="59">
        <f t="shared" ref="V103:V112" si="1980">H103/$H$9*298699*0.12+N103/$N$9*298699*0.15+P103/$P$9*298699*0.035+U103/$U$9*298699*0.025</f>
        <v>153.80263049413401</v>
      </c>
      <c r="W103" s="59">
        <v>12525.73</v>
      </c>
      <c r="X103" s="62">
        <f t="shared" ref="X103:X112" si="1981">($W$64-W103)/($W$64-$W$44)</f>
        <v>0.50553491839626197</v>
      </c>
      <c r="Y103" s="62">
        <f t="shared" ref="Y103:Y112" si="1982">(G103+N103)*X103/10000</f>
        <v>0.88989311685293904</v>
      </c>
      <c r="Z103" s="62">
        <f>Y103*0.2</f>
        <v>0.17797862337058801</v>
      </c>
      <c r="AA103" s="59">
        <f t="shared" ref="AA103:AA112" si="1983">Z103/$Z$9*298699*0.12</f>
        <v>14.0996347258453</v>
      </c>
      <c r="AB103" s="59">
        <v>1208</v>
      </c>
      <c r="AC103" s="59">
        <f t="shared" ref="AC103:AC112" si="1984">(AB103/$AB$9*298699*0.03)</f>
        <v>15.240512063810799</v>
      </c>
      <c r="AD103" s="59"/>
      <c r="AE103" s="59"/>
      <c r="AF103" s="59">
        <v>20</v>
      </c>
      <c r="AG103" s="59">
        <f>AF103*0.5</f>
        <v>10</v>
      </c>
      <c r="AH103" s="59">
        <f t="shared" ref="AH103:AH112" si="1985">AG103/$AG$9*298699*0.02</f>
        <v>16.858981233243998</v>
      </c>
      <c r="AI103" s="59">
        <v>0.85999612177622697</v>
      </c>
      <c r="AJ103" s="59">
        <f>AI103*0.5</f>
        <v>0.42999806088811299</v>
      </c>
      <c r="AK103" s="59">
        <f t="shared" ref="AK103:AK112" si="1986">AJ103/$AJ$9*298699*0.02</f>
        <v>29.341735929287999</v>
      </c>
      <c r="AL103" s="338"/>
      <c r="AM103" s="59"/>
      <c r="AN103" s="59"/>
      <c r="AO103" s="62"/>
      <c r="AP103" s="62"/>
      <c r="AQ103" s="59"/>
      <c r="AR103" s="59"/>
      <c r="AS103" s="59"/>
      <c r="AT103" s="189">
        <f>VLOOKUP(B:B,综合进度!B:N,13,0)</f>
        <v>5.6089958291936004e-003</v>
      </c>
      <c r="AU103" s="59">
        <f t="shared" ref="AU103:AU112" si="1987">AT103/$AT$9*298699*0.02</f>
        <v>33.508028903685997</v>
      </c>
      <c r="AV103" s="59"/>
      <c r="AW103" s="59"/>
      <c r="AX103" s="59">
        <f t="shared" ref="AX103:AX112" si="1988">ROUND(V103+AA103+AC103+AN103+AQ103+AS103+AU103+AW103+AH103+AK103,0)</f>
        <v>263</v>
      </c>
      <c r="AY103" s="59">
        <v>8077</v>
      </c>
      <c r="AZ103" s="59">
        <f t="shared" ref="AZ103:AZ112" si="1989">AY103/$AY$9*280243</f>
        <v>7559.6153635492301</v>
      </c>
      <c r="BA103" s="59">
        <f t="shared" ref="BA103:BA112" si="1990">AX103-AZ103</f>
        <v>-7296.6153635492301</v>
      </c>
      <c r="BB103" s="43">
        <f t="shared" si="1978"/>
        <v>-0.96520987016507098</v>
      </c>
      <c r="BC103" s="50">
        <v>1248</v>
      </c>
      <c r="BD103" s="50">
        <f t="shared" ref="BD103:BD112" si="1991">BC103+BA103</f>
        <v>-6048.6153635492301</v>
      </c>
      <c r="BG103" s="340"/>
    </row>
    <row r="104" ht="17" customHeight="1">
      <c r="A104" s="46">
        <v>66</v>
      </c>
      <c r="B104" s="82" t="s">
        <v>150</v>
      </c>
      <c r="C104" s="46" t="s">
        <v>90</v>
      </c>
      <c r="D104" s="46">
        <v>2017</v>
      </c>
      <c r="E104" s="46"/>
      <c r="F104" s="46"/>
      <c r="G104" s="73">
        <v>13190</v>
      </c>
      <c r="H104" s="59">
        <f t="shared" si="1972"/>
        <v>9233</v>
      </c>
      <c r="I104" s="59">
        <f t="shared" si="1934"/>
        <v>0</v>
      </c>
      <c r="J104" s="59">
        <f t="shared" si="1935"/>
        <v>9233</v>
      </c>
      <c r="K104" s="59">
        <f t="shared" si="1936"/>
        <v>0</v>
      </c>
      <c r="L104" s="59">
        <f t="shared" si="1937"/>
        <v>0</v>
      </c>
      <c r="M104" s="59">
        <f t="shared" si="1938"/>
        <v>0</v>
      </c>
      <c r="N104" s="59">
        <v>4423</v>
      </c>
      <c r="O104" s="59">
        <v>1167</v>
      </c>
      <c r="P104" s="59">
        <f t="shared" si="1979"/>
        <v>0</v>
      </c>
      <c r="Q104" s="59"/>
      <c r="R104" s="59"/>
      <c r="S104" s="59"/>
      <c r="T104" s="59"/>
      <c r="U104" s="59">
        <v>369</v>
      </c>
      <c r="V104" s="59">
        <f t="shared" si="1980"/>
        <v>297.54182049221902</v>
      </c>
      <c r="W104" s="59">
        <v>11646.190000000001</v>
      </c>
      <c r="X104" s="62">
        <f t="shared" si="1981"/>
        <v>0.64746442645013202</v>
      </c>
      <c r="Y104" s="62">
        <f t="shared" si="1982"/>
        <v>1.1403790943066201</v>
      </c>
      <c r="Z104" s="62">
        <f t="shared" ref="Z104:Z107" si="1992">Y104*0.5</f>
        <v>0.57018954715330905</v>
      </c>
      <c r="AA104" s="59">
        <f t="shared" si="1983"/>
        <v>45.170954730990402</v>
      </c>
      <c r="AB104" s="59">
        <v>761.5</v>
      </c>
      <c r="AC104" s="59">
        <f t="shared" si="1984"/>
        <v>9.6073261064502393</v>
      </c>
      <c r="AD104" s="59"/>
      <c r="AE104" s="59"/>
      <c r="AF104" s="59">
        <v>10</v>
      </c>
      <c r="AG104" s="59">
        <f t="shared" si="1939"/>
        <v>10</v>
      </c>
      <c r="AH104" s="59">
        <f t="shared" si="1985"/>
        <v>16.858981233243998</v>
      </c>
      <c r="AI104" s="59">
        <v>1</v>
      </c>
      <c r="AJ104" s="59">
        <f t="shared" si="1940"/>
        <v>1</v>
      </c>
      <c r="AK104" s="59">
        <f t="shared" si="1986"/>
        <v>68.236902902970996</v>
      </c>
      <c r="AL104" s="338"/>
      <c r="AM104" s="59"/>
      <c r="AN104" s="59"/>
      <c r="AO104" s="62"/>
      <c r="AP104" s="62"/>
      <c r="AQ104" s="59"/>
      <c r="AR104" s="59"/>
      <c r="AS104" s="59"/>
      <c r="AT104" s="189">
        <f>VLOOKUP(B:B,综合进度!B:N,13,0)</f>
        <v>4.4892785693018298e-003</v>
      </c>
      <c r="AU104" s="59">
        <f t="shared" si="1987"/>
        <v>26.818860387437802</v>
      </c>
      <c r="AV104" s="59"/>
      <c r="AW104" s="59"/>
      <c r="AX104" s="59">
        <f t="shared" si="1988"/>
        <v>464</v>
      </c>
      <c r="AY104" s="59">
        <v>4533</v>
      </c>
      <c r="AZ104" s="59">
        <f t="shared" si="1989"/>
        <v>4242.6317250177799</v>
      </c>
      <c r="BA104" s="59">
        <f t="shared" si="1990"/>
        <v>-3778.6317250177799</v>
      </c>
      <c r="BB104" s="43">
        <f t="shared" si="1978"/>
        <v>-0.89063392015293197</v>
      </c>
      <c r="BC104" s="50">
        <v>2896</v>
      </c>
      <c r="BD104" s="50">
        <f t="shared" si="1991"/>
        <v>-882.63172501778399</v>
      </c>
      <c r="BG104" s="340"/>
    </row>
    <row r="105" ht="17" customHeight="1">
      <c r="A105" s="46">
        <v>67</v>
      </c>
      <c r="B105" s="82" t="s">
        <v>151</v>
      </c>
      <c r="C105" s="46" t="s">
        <v>90</v>
      </c>
      <c r="D105" s="46">
        <v>2019</v>
      </c>
      <c r="E105" s="46" t="s">
        <v>91</v>
      </c>
      <c r="F105" s="46"/>
      <c r="G105" s="73">
        <v>91117</v>
      </c>
      <c r="H105" s="59">
        <f t="shared" si="1972"/>
        <v>82005.300000000003</v>
      </c>
      <c r="I105" s="59">
        <f t="shared" si="1934"/>
        <v>0</v>
      </c>
      <c r="J105" s="59">
        <f t="shared" si="1935"/>
        <v>0</v>
      </c>
      <c r="K105" s="59">
        <f t="shared" si="1936"/>
        <v>0</v>
      </c>
      <c r="L105" s="59">
        <f t="shared" si="1937"/>
        <v>82005.300000000003</v>
      </c>
      <c r="M105" s="59">
        <f t="shared" si="1938"/>
        <v>0</v>
      </c>
      <c r="N105" s="59">
        <v>11591</v>
      </c>
      <c r="O105" s="59">
        <v>17710</v>
      </c>
      <c r="P105" s="59">
        <f t="shared" si="1979"/>
        <v>0</v>
      </c>
      <c r="Q105" s="59"/>
      <c r="R105" s="59"/>
      <c r="S105" s="59"/>
      <c r="T105" s="59"/>
      <c r="U105" s="59">
        <v>2679</v>
      </c>
      <c r="V105" s="59">
        <f t="shared" si="1980"/>
        <v>1228.9231095841401</v>
      </c>
      <c r="W105" s="59">
        <v>11955.92</v>
      </c>
      <c r="X105" s="62">
        <f t="shared" si="1981"/>
        <v>0.59748395196400905</v>
      </c>
      <c r="Y105" s="62">
        <f t="shared" si="1982"/>
        <v>6.1366381738319404</v>
      </c>
      <c r="Z105" s="62">
        <f t="shared" ref="Z105:Z112" si="1993">Y105*1</f>
        <v>6.1366381738319404</v>
      </c>
      <c r="AA105" s="59">
        <f t="shared" si="1983"/>
        <v>486.15027499986599</v>
      </c>
      <c r="AB105" s="59">
        <v>6045</v>
      </c>
      <c r="AC105" s="59">
        <f t="shared" si="1984"/>
        <v>76.265641908721904</v>
      </c>
      <c r="AD105" s="59"/>
      <c r="AE105" s="59"/>
      <c r="AF105" s="59">
        <v>73</v>
      </c>
      <c r="AG105" s="59">
        <f t="shared" si="1939"/>
        <v>73</v>
      </c>
      <c r="AH105" s="59">
        <f t="shared" si="1985"/>
        <v>123.070563002681</v>
      </c>
      <c r="AI105" s="59">
        <v>1</v>
      </c>
      <c r="AJ105" s="59">
        <f t="shared" si="1940"/>
        <v>1</v>
      </c>
      <c r="AK105" s="59">
        <f t="shared" si="1986"/>
        <v>68.236902902970996</v>
      </c>
      <c r="AL105" s="338"/>
      <c r="AM105" s="59"/>
      <c r="AN105" s="59">
        <v>3000</v>
      </c>
      <c r="AO105" s="62"/>
      <c r="AP105" s="62"/>
      <c r="AQ105" s="59"/>
      <c r="AR105" s="59"/>
      <c r="AS105" s="59"/>
      <c r="AT105" s="189">
        <f>VLOOKUP(B:B,综合进度!B:N,13,0)</f>
        <v>9.4803419070796108e-003</v>
      </c>
      <c r="AU105" s="59">
        <f t="shared" si="1987"/>
        <v>56.635372946055398</v>
      </c>
      <c r="AV105" s="59"/>
      <c r="AW105" s="59"/>
      <c r="AX105" s="59">
        <f t="shared" si="1988"/>
        <v>5039</v>
      </c>
      <c r="AY105" s="59">
        <v>3237</v>
      </c>
      <c r="AZ105" s="59">
        <f t="shared" si="1989"/>
        <v>3029.6489949001898</v>
      </c>
      <c r="BA105" s="59">
        <f t="shared" si="1990"/>
        <v>2009.35100509981</v>
      </c>
      <c r="BB105" s="43">
        <f t="shared" si="1978"/>
        <v>0.66322897750932497</v>
      </c>
      <c r="BC105" s="50">
        <v>-2878</v>
      </c>
      <c r="BD105" s="50">
        <f t="shared" si="1991"/>
        <v>-868.64899490019104</v>
      </c>
      <c r="BG105" s="340"/>
    </row>
    <row r="106" ht="17" customHeight="1">
      <c r="A106" s="46">
        <v>68</v>
      </c>
      <c r="B106" s="82" t="s">
        <v>153</v>
      </c>
      <c r="C106" s="46" t="s">
        <v>90</v>
      </c>
      <c r="D106" s="46">
        <v>2018</v>
      </c>
      <c r="E106" s="46"/>
      <c r="F106" s="46"/>
      <c r="G106" s="73">
        <v>49007</v>
      </c>
      <c r="H106" s="59">
        <f t="shared" si="1972"/>
        <v>39205.599999999999</v>
      </c>
      <c r="I106" s="59">
        <f t="shared" si="1934"/>
        <v>0</v>
      </c>
      <c r="J106" s="59">
        <f t="shared" si="1935"/>
        <v>0</v>
      </c>
      <c r="K106" s="59">
        <f t="shared" si="1936"/>
        <v>39205.599999999999</v>
      </c>
      <c r="L106" s="59">
        <f t="shared" si="1937"/>
        <v>0</v>
      </c>
      <c r="M106" s="59">
        <f t="shared" si="1938"/>
        <v>0</v>
      </c>
      <c r="N106" s="59">
        <v>8904</v>
      </c>
      <c r="O106" s="59">
        <v>14292</v>
      </c>
      <c r="P106" s="59">
        <f t="shared" si="1979"/>
        <v>513.60000000000002</v>
      </c>
      <c r="Q106" s="59">
        <v>856</v>
      </c>
      <c r="R106" s="59"/>
      <c r="S106" s="59"/>
      <c r="T106" s="59"/>
      <c r="U106" s="59">
        <v>1196</v>
      </c>
      <c r="V106" s="59">
        <f t="shared" si="1980"/>
        <v>763.05610138038503</v>
      </c>
      <c r="W106" s="59">
        <v>11578.01</v>
      </c>
      <c r="X106" s="62">
        <f t="shared" si="1981"/>
        <v>0.65846648873168101</v>
      </c>
      <c r="Y106" s="62">
        <f t="shared" si="1982"/>
        <v>3.81324528289404</v>
      </c>
      <c r="Z106" s="62">
        <f t="shared" si="1992"/>
        <v>1.90662264144702</v>
      </c>
      <c r="AA106" s="59">
        <f t="shared" si="1983"/>
        <v>151.04444733485801</v>
      </c>
      <c r="AB106" s="59">
        <v>3279.4400000000001</v>
      </c>
      <c r="AC106" s="59">
        <f t="shared" si="1984"/>
        <v>41.374457684224801</v>
      </c>
      <c r="AD106" s="59"/>
      <c r="AE106" s="59"/>
      <c r="AF106" s="59">
        <v>56</v>
      </c>
      <c r="AG106" s="59">
        <f t="shared" si="1939"/>
        <v>56</v>
      </c>
      <c r="AH106" s="59">
        <f t="shared" si="1985"/>
        <v>94.4102949061662</v>
      </c>
      <c r="AI106" s="59">
        <v>0.87116131309565803</v>
      </c>
      <c r="AJ106" s="59">
        <f t="shared" si="1940"/>
        <v>0.87116131309565803</v>
      </c>
      <c r="AK106" s="59">
        <f t="shared" si="1986"/>
        <v>59.445349934533098</v>
      </c>
      <c r="AL106" s="338"/>
      <c r="AM106" s="59"/>
      <c r="AN106" s="59"/>
      <c r="AO106" s="62"/>
      <c r="AP106" s="62"/>
      <c r="AQ106" s="59"/>
      <c r="AR106" s="59"/>
      <c r="AS106" s="59"/>
      <c r="AT106" s="189">
        <f>VLOOKUP(B:B,综合进度!B:N,13,0)</f>
        <v>4.9627188062707703e-003</v>
      </c>
      <c r="AU106" s="59">
        <f t="shared" si="1987"/>
        <v>29.6471828942854</v>
      </c>
      <c r="AV106" s="59"/>
      <c r="AW106" s="59"/>
      <c r="AX106" s="59">
        <f t="shared" si="1988"/>
        <v>1139</v>
      </c>
      <c r="AY106" s="59">
        <v>1988</v>
      </c>
      <c r="AZ106" s="59">
        <f t="shared" si="1989"/>
        <v>1860.65560761865</v>
      </c>
      <c r="BA106" s="59">
        <f t="shared" si="1990"/>
        <v>-721.65560761865299</v>
      </c>
      <c r="BB106" s="43">
        <f t="shared" si="1978"/>
        <v>-0.38785017746634998</v>
      </c>
      <c r="BC106" s="50">
        <v>2135</v>
      </c>
      <c r="BD106" s="50">
        <f t="shared" si="1991"/>
        <v>1413.34439238135</v>
      </c>
      <c r="BG106" s="340"/>
    </row>
    <row r="107" ht="17" customHeight="1">
      <c r="A107" s="46">
        <v>69</v>
      </c>
      <c r="B107" s="82" t="s">
        <v>154</v>
      </c>
      <c r="C107" s="46" t="s">
        <v>90</v>
      </c>
      <c r="D107" s="46">
        <v>2018</v>
      </c>
      <c r="E107" s="46"/>
      <c r="F107" s="46"/>
      <c r="G107" s="73">
        <v>33371</v>
      </c>
      <c r="H107" s="59">
        <f t="shared" si="1972"/>
        <v>26696.799999999999</v>
      </c>
      <c r="I107" s="59">
        <f t="shared" si="1934"/>
        <v>0</v>
      </c>
      <c r="J107" s="59">
        <f t="shared" si="1935"/>
        <v>0</v>
      </c>
      <c r="K107" s="59">
        <f t="shared" si="1936"/>
        <v>26696.799999999999</v>
      </c>
      <c r="L107" s="59">
        <f t="shared" si="1937"/>
        <v>0</v>
      </c>
      <c r="M107" s="59">
        <f t="shared" si="1938"/>
        <v>0</v>
      </c>
      <c r="N107" s="59">
        <v>4668</v>
      </c>
      <c r="O107" s="59">
        <v>10988</v>
      </c>
      <c r="P107" s="59">
        <f t="shared" si="1979"/>
        <v>0</v>
      </c>
      <c r="Q107" s="59"/>
      <c r="R107" s="59"/>
      <c r="S107" s="59"/>
      <c r="T107" s="59"/>
      <c r="U107" s="59">
        <v>988</v>
      </c>
      <c r="V107" s="59">
        <f t="shared" si="1980"/>
        <v>450.63140952694198</v>
      </c>
      <c r="W107" s="59">
        <v>11318.610000000001</v>
      </c>
      <c r="X107" s="62">
        <f t="shared" si="1981"/>
        <v>0.70032531765267803</v>
      </c>
      <c r="Y107" s="62">
        <f t="shared" si="1982"/>
        <v>2.6639674758190202</v>
      </c>
      <c r="Z107" s="62">
        <f t="shared" si="1992"/>
        <v>1.3319837379095101</v>
      </c>
      <c r="AA107" s="59">
        <f t="shared" si="1983"/>
        <v>105.521010386654</v>
      </c>
      <c r="AB107" s="59">
        <v>3972.9000000000001</v>
      </c>
      <c r="AC107" s="59">
        <f t="shared" si="1984"/>
        <v>50.123369518471698</v>
      </c>
      <c r="AD107" s="59"/>
      <c r="AE107" s="59"/>
      <c r="AF107" s="59">
        <v>8</v>
      </c>
      <c r="AG107" s="59">
        <f t="shared" si="1939"/>
        <v>8</v>
      </c>
      <c r="AH107" s="59">
        <f t="shared" si="1985"/>
        <v>13.487184986595199</v>
      </c>
      <c r="AI107" s="59">
        <v>1</v>
      </c>
      <c r="AJ107" s="59">
        <f t="shared" si="1940"/>
        <v>1</v>
      </c>
      <c r="AK107" s="59">
        <f t="shared" si="1986"/>
        <v>68.236902902970996</v>
      </c>
      <c r="AL107" s="338"/>
      <c r="AM107" s="59"/>
      <c r="AN107" s="59"/>
      <c r="AO107" s="62"/>
      <c r="AP107" s="62"/>
      <c r="AQ107" s="59"/>
      <c r="AR107" s="59"/>
      <c r="AS107" s="59"/>
      <c r="AT107" s="189">
        <f>VLOOKUP(B:B,综合进度!B:N,13,0)</f>
        <v>4.1973680467494497e-003</v>
      </c>
      <c r="AU107" s="59">
        <f t="shared" si="1987"/>
        <v>25.074992763920299</v>
      </c>
      <c r="AV107" s="59"/>
      <c r="AW107" s="59"/>
      <c r="AX107" s="59">
        <f t="shared" si="1988"/>
        <v>713</v>
      </c>
      <c r="AY107" s="59">
        <v>1134</v>
      </c>
      <c r="AZ107" s="59">
        <f t="shared" si="1989"/>
        <v>1061.35988885289</v>
      </c>
      <c r="BA107" s="59">
        <f t="shared" si="1990"/>
        <v>-348.35988885289402</v>
      </c>
      <c r="BB107" s="43">
        <f t="shared" si="1978"/>
        <v>-0.32822032612274199</v>
      </c>
      <c r="BC107" s="50">
        <v>1243</v>
      </c>
      <c r="BD107" s="50">
        <f t="shared" si="1991"/>
        <v>894.64011114710604</v>
      </c>
      <c r="BG107" s="340"/>
    </row>
    <row r="108" ht="17" customHeight="1">
      <c r="A108" s="46">
        <v>70</v>
      </c>
      <c r="B108" s="82" t="s">
        <v>152</v>
      </c>
      <c r="C108" s="46" t="s">
        <v>90</v>
      </c>
      <c r="D108" s="46">
        <v>2019</v>
      </c>
      <c r="E108" s="46" t="s">
        <v>91</v>
      </c>
      <c r="F108" s="46"/>
      <c r="G108" s="73">
        <v>60317</v>
      </c>
      <c r="H108" s="59">
        <f t="shared" si="1972"/>
        <v>54285.300000000003</v>
      </c>
      <c r="I108" s="59">
        <f t="shared" si="1934"/>
        <v>0</v>
      </c>
      <c r="J108" s="59">
        <f t="shared" si="1935"/>
        <v>0</v>
      </c>
      <c r="K108" s="59">
        <f t="shared" si="1936"/>
        <v>0</v>
      </c>
      <c r="L108" s="59">
        <f t="shared" si="1937"/>
        <v>54285.300000000003</v>
      </c>
      <c r="M108" s="59">
        <f t="shared" si="1938"/>
        <v>0</v>
      </c>
      <c r="N108" s="59">
        <v>9511</v>
      </c>
      <c r="O108" s="59">
        <v>8913</v>
      </c>
      <c r="P108" s="59">
        <f t="shared" si="1979"/>
        <v>640.20000000000005</v>
      </c>
      <c r="Q108" s="59">
        <v>1067</v>
      </c>
      <c r="R108" s="59"/>
      <c r="S108" s="59"/>
      <c r="T108" s="59"/>
      <c r="U108" s="59">
        <v>2232</v>
      </c>
      <c r="V108" s="59">
        <f t="shared" si="1980"/>
        <v>943.31343619008499</v>
      </c>
      <c r="W108" s="59">
        <v>11682.860000000001</v>
      </c>
      <c r="X108" s="62">
        <f t="shared" si="1981"/>
        <v>0.64154706617051405</v>
      </c>
      <c r="Y108" s="62">
        <f t="shared" si="1982"/>
        <v>4.4797948536554699</v>
      </c>
      <c r="Z108" s="62">
        <f t="shared" si="1993"/>
        <v>4.4797948536554699</v>
      </c>
      <c r="AA108" s="59">
        <f t="shared" si="1983"/>
        <v>354.89358152717301</v>
      </c>
      <c r="AB108" s="59">
        <v>12501</v>
      </c>
      <c r="AC108" s="59">
        <f t="shared" si="1984"/>
        <v>157.71659048816099</v>
      </c>
      <c r="AD108" s="59"/>
      <c r="AE108" s="59"/>
      <c r="AF108" s="59">
        <v>36</v>
      </c>
      <c r="AG108" s="59">
        <f t="shared" si="1939"/>
        <v>36</v>
      </c>
      <c r="AH108" s="59">
        <f t="shared" si="1985"/>
        <v>60.692332439678303</v>
      </c>
      <c r="AI108" s="59">
        <v>0.78000000000000003</v>
      </c>
      <c r="AJ108" s="59">
        <f t="shared" si="1940"/>
        <v>0.78000000000000003</v>
      </c>
      <c r="AK108" s="59">
        <f t="shared" si="1986"/>
        <v>53.2247842643173</v>
      </c>
      <c r="AL108" s="338"/>
      <c r="AM108" s="59"/>
      <c r="AN108" s="59">
        <v>3000</v>
      </c>
      <c r="AO108" s="62"/>
      <c r="AP108" s="62"/>
      <c r="AQ108" s="59"/>
      <c r="AR108" s="59"/>
      <c r="AS108" s="59"/>
      <c r="AT108" s="189">
        <f>VLOOKUP(B:B,综合进度!B:N,13,0)</f>
        <v>6.88219712094387e-003</v>
      </c>
      <c r="AU108" s="59">
        <f t="shared" si="1987"/>
        <v>41.114107956576198</v>
      </c>
      <c r="AV108" s="59"/>
      <c r="AW108" s="59"/>
      <c r="AX108" s="59">
        <f t="shared" si="1988"/>
        <v>4611</v>
      </c>
      <c r="AY108" s="59">
        <v>1648</v>
      </c>
      <c r="AZ108" s="59">
        <f t="shared" si="1989"/>
        <v>1542.4348296557</v>
      </c>
      <c r="BA108" s="59">
        <f t="shared" si="1990"/>
        <v>3068.5651703443</v>
      </c>
      <c r="BB108" s="43">
        <f t="shared" si="1978"/>
        <v>1.98942938226392</v>
      </c>
      <c r="BC108" s="50">
        <v>347</v>
      </c>
      <c r="BD108" s="50">
        <f t="shared" si="1991"/>
        <v>3415.5651703443</v>
      </c>
      <c r="BG108" s="340"/>
    </row>
    <row r="109" ht="17" customHeight="1">
      <c r="A109" s="46">
        <v>71</v>
      </c>
      <c r="B109" s="82" t="s">
        <v>155</v>
      </c>
      <c r="C109" s="46" t="s">
        <v>93</v>
      </c>
      <c r="D109" s="46">
        <v>2019</v>
      </c>
      <c r="E109" s="46" t="s">
        <v>91</v>
      </c>
      <c r="F109" s="46" t="s">
        <v>146</v>
      </c>
      <c r="G109" s="73">
        <v>35696</v>
      </c>
      <c r="H109" s="59">
        <f t="shared" si="1972"/>
        <v>32126.400000000001</v>
      </c>
      <c r="I109" s="59">
        <f t="shared" si="1934"/>
        <v>0</v>
      </c>
      <c r="J109" s="59">
        <f t="shared" si="1935"/>
        <v>0</v>
      </c>
      <c r="K109" s="59">
        <f t="shared" si="1936"/>
        <v>0</v>
      </c>
      <c r="L109" s="59">
        <f t="shared" si="1937"/>
        <v>32126.400000000001</v>
      </c>
      <c r="M109" s="59">
        <f t="shared" si="1938"/>
        <v>0</v>
      </c>
      <c r="N109" s="59">
        <v>3264</v>
      </c>
      <c r="O109" s="59">
        <v>9378</v>
      </c>
      <c r="P109" s="59">
        <f t="shared" si="1979"/>
        <v>0</v>
      </c>
      <c r="Q109" s="59"/>
      <c r="R109" s="59"/>
      <c r="S109" s="59"/>
      <c r="T109" s="59"/>
      <c r="U109" s="59">
        <v>838</v>
      </c>
      <c r="V109" s="59">
        <f t="shared" si="1980"/>
        <v>406.94206507709799</v>
      </c>
      <c r="W109" s="59">
        <v>12061.309999999999</v>
      </c>
      <c r="X109" s="62">
        <f t="shared" si="1981"/>
        <v>0.58047739074587501</v>
      </c>
      <c r="Y109" s="62">
        <f t="shared" si="1982"/>
        <v>2.26153991434593</v>
      </c>
      <c r="Z109" s="62">
        <f t="shared" si="1993"/>
        <v>2.26153991434593</v>
      </c>
      <c r="AA109" s="59">
        <f t="shared" si="1983"/>
        <v>179.16132907603199</v>
      </c>
      <c r="AB109" s="59">
        <v>1910.5999999999999</v>
      </c>
      <c r="AC109" s="59">
        <f t="shared" si="1984"/>
        <v>24.1047370439709</v>
      </c>
      <c r="AD109" s="59"/>
      <c r="AE109" s="59"/>
      <c r="AF109" s="59">
        <v>2</v>
      </c>
      <c r="AG109" s="59">
        <f t="shared" si="1939"/>
        <v>2</v>
      </c>
      <c r="AH109" s="59">
        <f t="shared" si="1985"/>
        <v>3.3717962466487901</v>
      </c>
      <c r="AI109" s="59">
        <v>1</v>
      </c>
      <c r="AJ109" s="59">
        <f t="shared" si="1940"/>
        <v>1</v>
      </c>
      <c r="AK109" s="59">
        <f t="shared" si="1986"/>
        <v>68.236902902970996</v>
      </c>
      <c r="AL109" s="338"/>
      <c r="AM109" s="59"/>
      <c r="AN109" s="59">
        <v>3000</v>
      </c>
      <c r="AO109" s="62"/>
      <c r="AP109" s="62"/>
      <c r="AQ109" s="59"/>
      <c r="AR109" s="59"/>
      <c r="AS109" s="59"/>
      <c r="AT109" s="189">
        <f>VLOOKUP(B:B,综合进度!B:N,13,0)</f>
        <v>8.4229372391856697e-003</v>
      </c>
      <c r="AU109" s="59">
        <f t="shared" si="1987"/>
        <v>50.318458608150401</v>
      </c>
      <c r="AV109" s="59"/>
      <c r="AW109" s="59"/>
      <c r="AX109" s="59">
        <f t="shared" si="1988"/>
        <v>3732</v>
      </c>
      <c r="AY109" s="59">
        <v>3791</v>
      </c>
      <c r="AZ109" s="59">
        <f t="shared" si="1989"/>
        <v>3548.16167428688</v>
      </c>
      <c r="BA109" s="59">
        <f t="shared" si="1990"/>
        <v>183.838325713122</v>
      </c>
      <c r="BB109" s="43">
        <f t="shared" si="1978"/>
        <v>5.1812274239186197e-002</v>
      </c>
      <c r="BC109" s="50">
        <v>-5973</v>
      </c>
      <c r="BD109" s="50">
        <f t="shared" si="1991"/>
        <v>-5789.16167428688</v>
      </c>
      <c r="BG109" s="340"/>
    </row>
    <row r="110" ht="17" customHeight="1">
      <c r="A110" s="46">
        <v>72</v>
      </c>
      <c r="B110" s="82" t="s">
        <v>157</v>
      </c>
      <c r="C110" s="46" t="s">
        <v>93</v>
      </c>
      <c r="D110" s="46">
        <v>2020</v>
      </c>
      <c r="E110" s="46" t="s">
        <v>94</v>
      </c>
      <c r="F110" s="46" t="s">
        <v>146</v>
      </c>
      <c r="G110" s="73">
        <v>196287</v>
      </c>
      <c r="H110" s="59">
        <f t="shared" si="1972"/>
        <v>196287</v>
      </c>
      <c r="I110" s="59">
        <f t="shared" si="1934"/>
        <v>0</v>
      </c>
      <c r="J110" s="59">
        <f t="shared" si="1935"/>
        <v>0</v>
      </c>
      <c r="K110" s="59">
        <f t="shared" si="1936"/>
        <v>0</v>
      </c>
      <c r="L110" s="59">
        <f t="shared" si="1937"/>
        <v>0</v>
      </c>
      <c r="M110" s="59">
        <f t="shared" si="1938"/>
        <v>196287</v>
      </c>
      <c r="N110" s="59">
        <v>32467</v>
      </c>
      <c r="O110" s="59">
        <v>17210</v>
      </c>
      <c r="P110" s="59">
        <f t="shared" si="1979"/>
        <v>1731.5999999999999</v>
      </c>
      <c r="Q110" s="59">
        <v>2886</v>
      </c>
      <c r="R110" s="59"/>
      <c r="S110" s="59"/>
      <c r="T110" s="59"/>
      <c r="U110" s="59">
        <v>2533</v>
      </c>
      <c r="V110" s="59">
        <f t="shared" si="1980"/>
        <v>3020.9510218263699</v>
      </c>
      <c r="W110" s="59">
        <v>11840.91</v>
      </c>
      <c r="X110" s="62">
        <f t="shared" si="1981"/>
        <v>0.61604287221922804</v>
      </c>
      <c r="Y110" s="62">
        <f t="shared" si="1982"/>
        <v>14.092227119163701</v>
      </c>
      <c r="Z110" s="62">
        <f t="shared" si="1993"/>
        <v>14.092227119163701</v>
      </c>
      <c r="AA110" s="59">
        <f t="shared" si="1983"/>
        <v>1116.3995489510901</v>
      </c>
      <c r="AB110" s="59">
        <v>61435.459999999999</v>
      </c>
      <c r="AC110" s="59">
        <f t="shared" si="1984"/>
        <v>775.08929575808202</v>
      </c>
      <c r="AD110" s="59"/>
      <c r="AE110" s="59"/>
      <c r="AF110" s="59">
        <v>31</v>
      </c>
      <c r="AG110" s="59">
        <f t="shared" si="1939"/>
        <v>31</v>
      </c>
      <c r="AH110" s="59">
        <f t="shared" si="1985"/>
        <v>52.262841823056299</v>
      </c>
      <c r="AI110" s="59">
        <v>0.97077488985003402</v>
      </c>
      <c r="AJ110" s="59">
        <f t="shared" si="1940"/>
        <v>0.97077488985003402</v>
      </c>
      <c r="AK110" s="59">
        <f t="shared" si="1986"/>
        <v>66.242671899339101</v>
      </c>
      <c r="AL110" s="338"/>
      <c r="AM110" s="59"/>
      <c r="AN110" s="59">
        <v>1000</v>
      </c>
      <c r="AO110" s="62"/>
      <c r="AP110" s="62"/>
      <c r="AQ110" s="59"/>
      <c r="AR110" s="59"/>
      <c r="AS110" s="59"/>
      <c r="AT110" s="189">
        <f>VLOOKUP(B:B,综合进度!B:N,13,0)</f>
        <v>1.8018670809811e-002</v>
      </c>
      <c r="AU110" s="59">
        <f t="shared" si="1987"/>
        <v>107.643179044395</v>
      </c>
      <c r="AV110" s="59"/>
      <c r="AW110" s="59"/>
      <c r="AX110" s="59">
        <f t="shared" si="1988"/>
        <v>6139</v>
      </c>
      <c r="AY110" s="59">
        <v>5787</v>
      </c>
      <c r="AZ110" s="59">
        <f t="shared" si="1989"/>
        <v>5416.3048296223096</v>
      </c>
      <c r="BA110" s="59">
        <f t="shared" si="1990"/>
        <v>722.69517037769299</v>
      </c>
      <c r="BB110" s="43">
        <f t="shared" si="1978"/>
        <v>0.13342956002498299</v>
      </c>
      <c r="BC110" s="50">
        <v>1522</v>
      </c>
      <c r="BD110" s="50">
        <f t="shared" si="1991"/>
        <v>2244.6951703776899</v>
      </c>
      <c r="BF110" s="84"/>
      <c r="BG110" s="339"/>
    </row>
    <row r="111" ht="17" customHeight="1">
      <c r="A111" s="46">
        <v>73</v>
      </c>
      <c r="B111" s="82" t="s">
        <v>156</v>
      </c>
      <c r="C111" s="46" t="s">
        <v>90</v>
      </c>
      <c r="D111" s="46">
        <v>2018</v>
      </c>
      <c r="E111" s="46" t="s">
        <v>91</v>
      </c>
      <c r="F111" s="46" t="s">
        <v>146</v>
      </c>
      <c r="G111" s="73">
        <v>28213</v>
      </c>
      <c r="H111" s="59">
        <f t="shared" si="1972"/>
        <v>22570.400000000001</v>
      </c>
      <c r="I111" s="59">
        <f t="shared" si="1934"/>
        <v>0</v>
      </c>
      <c r="J111" s="59">
        <f t="shared" si="1935"/>
        <v>0</v>
      </c>
      <c r="K111" s="59">
        <f t="shared" si="1936"/>
        <v>22570.400000000001</v>
      </c>
      <c r="L111" s="59">
        <f t="shared" si="1937"/>
        <v>0</v>
      </c>
      <c r="M111" s="59">
        <f t="shared" si="1938"/>
        <v>0</v>
      </c>
      <c r="N111" s="59">
        <v>3605</v>
      </c>
      <c r="O111" s="59">
        <v>214</v>
      </c>
      <c r="P111" s="59">
        <f t="shared" si="1979"/>
        <v>0</v>
      </c>
      <c r="Q111" s="59"/>
      <c r="R111" s="59"/>
      <c r="S111" s="59"/>
      <c r="T111" s="59"/>
      <c r="U111" s="59">
        <v>356</v>
      </c>
      <c r="V111" s="59">
        <f t="shared" si="1980"/>
        <v>339.65041296098298</v>
      </c>
      <c r="W111" s="59">
        <v>13102.719999999999</v>
      </c>
      <c r="X111" s="62">
        <f t="shared" si="1981"/>
        <v>0.41242726342661501</v>
      </c>
      <c r="Y111" s="62">
        <f t="shared" si="1982"/>
        <v>1.3122610667707999</v>
      </c>
      <c r="Z111" s="62">
        <f t="shared" si="1993"/>
        <v>1.3122610667707999</v>
      </c>
      <c r="AA111" s="59">
        <f t="shared" si="1983"/>
        <v>103.958561741938</v>
      </c>
      <c r="AB111" s="59">
        <v>3112.7800000000002</v>
      </c>
      <c r="AC111" s="59">
        <f t="shared" si="1984"/>
        <v>39.271822137408002</v>
      </c>
      <c r="AD111" s="59"/>
      <c r="AE111" s="59"/>
      <c r="AF111" s="59">
        <v>2</v>
      </c>
      <c r="AG111" s="59">
        <f t="shared" si="1939"/>
        <v>2</v>
      </c>
      <c r="AH111" s="59">
        <f t="shared" si="1985"/>
        <v>3.3717962466487901</v>
      </c>
      <c r="AI111" s="59">
        <v>0.80823221508446397</v>
      </c>
      <c r="AJ111" s="59">
        <f t="shared" si="1940"/>
        <v>0.80823221508446397</v>
      </c>
      <c r="AK111" s="59">
        <f t="shared" si="1986"/>
        <v>55.151263183771697</v>
      </c>
      <c r="AL111" s="338"/>
      <c r="AM111" s="59"/>
      <c r="AN111" s="59">
        <v>3000</v>
      </c>
      <c r="AO111" s="62"/>
      <c r="AP111" s="62"/>
      <c r="AQ111" s="59"/>
      <c r="AR111" s="59"/>
      <c r="AS111" s="59"/>
      <c r="AT111" s="189">
        <f>VLOOKUP(B:B,综合进度!B:N,13,0)</f>
        <v>7.3618342816394802e-003</v>
      </c>
      <c r="AU111" s="59">
        <f t="shared" si="1987"/>
        <v>43.979450761828602</v>
      </c>
      <c r="AV111" s="59"/>
      <c r="AW111" s="59"/>
      <c r="AX111" s="59">
        <f t="shared" si="1988"/>
        <v>3585</v>
      </c>
      <c r="AY111" s="59">
        <v>4890</v>
      </c>
      <c r="AZ111" s="59">
        <f t="shared" si="1989"/>
        <v>4576.7635418788796</v>
      </c>
      <c r="BA111" s="59">
        <f t="shared" si="1990"/>
        <v>-991.76354187888001</v>
      </c>
      <c r="BB111" s="43">
        <f t="shared" si="1978"/>
        <v>-0.21669538589964699</v>
      </c>
      <c r="BC111" s="50">
        <v>-4824</v>
      </c>
      <c r="BD111" s="50">
        <f t="shared" si="1991"/>
        <v>-5815.7635418788796</v>
      </c>
      <c r="BG111" s="340"/>
    </row>
    <row r="112" ht="17" customHeight="1">
      <c r="A112" s="46">
        <v>74</v>
      </c>
      <c r="B112" s="82" t="s">
        <v>158</v>
      </c>
      <c r="C112" s="46" t="s">
        <v>90</v>
      </c>
      <c r="D112" s="46">
        <v>2018</v>
      </c>
      <c r="E112" s="46" t="s">
        <v>91</v>
      </c>
      <c r="F112" s="46" t="s">
        <v>146</v>
      </c>
      <c r="G112" s="73">
        <v>29707</v>
      </c>
      <c r="H112" s="59">
        <f t="shared" si="1972"/>
        <v>23765.599999999999</v>
      </c>
      <c r="I112" s="59">
        <f t="shared" si="1934"/>
        <v>0</v>
      </c>
      <c r="J112" s="59">
        <f t="shared" si="1935"/>
        <v>0</v>
      </c>
      <c r="K112" s="59">
        <f t="shared" si="1936"/>
        <v>23765.599999999999</v>
      </c>
      <c r="L112" s="59">
        <f t="shared" si="1937"/>
        <v>0</v>
      </c>
      <c r="M112" s="59">
        <f t="shared" si="1938"/>
        <v>0</v>
      </c>
      <c r="N112" s="59">
        <v>4444</v>
      </c>
      <c r="O112" s="59">
        <v>218</v>
      </c>
      <c r="P112" s="59">
        <f t="shared" si="1979"/>
        <v>0</v>
      </c>
      <c r="Q112" s="59"/>
      <c r="R112" s="59"/>
      <c r="S112" s="59"/>
      <c r="T112" s="59"/>
      <c r="U112" s="59">
        <v>485</v>
      </c>
      <c r="V112" s="59">
        <f t="shared" si="1980"/>
        <v>395.59119966246698</v>
      </c>
      <c r="W112" s="59">
        <v>11726.4</v>
      </c>
      <c r="X112" s="62">
        <f t="shared" si="1981"/>
        <v>0.63452110853281096</v>
      </c>
      <c r="Y112" s="62">
        <f t="shared" si="1982"/>
        <v>2.1669530377504</v>
      </c>
      <c r="Z112" s="62">
        <f t="shared" si="1993"/>
        <v>2.1669530377504</v>
      </c>
      <c r="AA112" s="59">
        <f t="shared" si="1983"/>
        <v>171.66806733145401</v>
      </c>
      <c r="AB112" s="59">
        <v>1604.5999999999999</v>
      </c>
      <c r="AC112" s="59">
        <f t="shared" si="1984"/>
        <v>20.244143756283702</v>
      </c>
      <c r="AD112" s="59"/>
      <c r="AE112" s="59"/>
      <c r="AF112" s="59">
        <v>6</v>
      </c>
      <c r="AG112" s="59">
        <f t="shared" si="1939"/>
        <v>6</v>
      </c>
      <c r="AH112" s="59">
        <f t="shared" si="1985"/>
        <v>10.1153887399464</v>
      </c>
      <c r="AI112" s="59">
        <v>1</v>
      </c>
      <c r="AJ112" s="59">
        <f t="shared" si="1940"/>
        <v>1</v>
      </c>
      <c r="AK112" s="59">
        <f t="shared" si="1986"/>
        <v>68.236902902970996</v>
      </c>
      <c r="AL112" s="338"/>
      <c r="AM112" s="59"/>
      <c r="AN112" s="59">
        <v>3000</v>
      </c>
      <c r="AO112" s="62"/>
      <c r="AP112" s="62"/>
      <c r="AQ112" s="59"/>
      <c r="AR112" s="59"/>
      <c r="AS112" s="59"/>
      <c r="AT112" s="189">
        <f>VLOOKUP(B:B,综合进度!B:N,13,0)</f>
        <v>8.1952052173545394e-003</v>
      </c>
      <c r="AU112" s="59">
        <f t="shared" si="1987"/>
        <v>48.957992064371702</v>
      </c>
      <c r="AV112" s="59"/>
      <c r="AW112" s="59"/>
      <c r="AX112" s="59">
        <f t="shared" si="1988"/>
        <v>3715</v>
      </c>
      <c r="AY112" s="59">
        <v>3659</v>
      </c>
      <c r="AZ112" s="59">
        <f t="shared" si="1989"/>
        <v>3424.6171369600902</v>
      </c>
      <c r="BA112" s="59">
        <f t="shared" si="1990"/>
        <v>290.38286303991299</v>
      </c>
      <c r="BB112" s="43">
        <f t="shared" si="1978"/>
        <v>8.4792796224128095e-002</v>
      </c>
      <c r="BC112" s="50">
        <v>-5723</v>
      </c>
      <c r="BD112" s="50">
        <f t="shared" si="1991"/>
        <v>-5432.6171369600897</v>
      </c>
      <c r="BG112" s="340"/>
    </row>
    <row r="113" s="5" customFormat="1" ht="30" customHeight="1">
      <c r="A113" s="65"/>
      <c r="B113" s="66" t="s">
        <v>159</v>
      </c>
      <c r="C113" s="67">
        <v>1</v>
      </c>
      <c r="D113" s="67"/>
      <c r="E113" s="67"/>
      <c r="F113" s="68"/>
      <c r="G113" s="69">
        <f>G114+G115</f>
        <v>66152</v>
      </c>
      <c r="H113" s="69">
        <f>H114+H115</f>
        <v>47523.800000000003</v>
      </c>
      <c r="I113" s="69">
        <f t="shared" ref="I113:U113" si="1994">I114+I115</f>
        <v>7888.8000000000002</v>
      </c>
      <c r="J113" s="69">
        <f t="shared" si="1994"/>
        <v>19377.400000000001</v>
      </c>
      <c r="K113" s="69">
        <f t="shared" si="1994"/>
        <v>20257.599999999999</v>
      </c>
      <c r="L113" s="69">
        <f t="shared" si="1994"/>
        <v>0</v>
      </c>
      <c r="M113" s="69">
        <f t="shared" si="1994"/>
        <v>0</v>
      </c>
      <c r="N113" s="69">
        <f t="shared" si="1994"/>
        <v>8532</v>
      </c>
      <c r="O113" s="69">
        <f t="shared" si="1994"/>
        <v>753</v>
      </c>
      <c r="P113" s="69">
        <f t="shared" si="1994"/>
        <v>0</v>
      </c>
      <c r="Q113" s="59">
        <v>0</v>
      </c>
      <c r="R113" s="69">
        <f>R114+R115</f>
        <v>0</v>
      </c>
      <c r="S113" s="69">
        <f>S114+S115</f>
        <v>0</v>
      </c>
      <c r="T113" s="69">
        <f>T114+T115</f>
        <v>0</v>
      </c>
      <c r="U113" s="69">
        <f>U114+U115</f>
        <v>589</v>
      </c>
      <c r="V113" s="69">
        <f>V114+V115</f>
        <v>754.059003481491</v>
      </c>
      <c r="W113" s="69"/>
      <c r="X113" s="69">
        <f t="shared" ref="X113:AE113" si="1995">X114+X115</f>
        <v>1.0181732510142001</v>
      </c>
      <c r="Y113" s="69">
        <f t="shared" si="1995"/>
        <v>2.3200726103837002</v>
      </c>
      <c r="Z113" s="69">
        <f t="shared" si="1995"/>
        <v>0.94770666530041903</v>
      </c>
      <c r="AA113" s="69">
        <f t="shared" si="1995"/>
        <v>75.078217568644703</v>
      </c>
      <c r="AB113" s="69">
        <f t="shared" si="1995"/>
        <v>1184.2</v>
      </c>
      <c r="AC113" s="69">
        <f t="shared" si="1995"/>
        <v>14.940243696990599</v>
      </c>
      <c r="AD113" s="69"/>
      <c r="AE113" s="69"/>
      <c r="AF113" s="69">
        <f t="shared" ref="AF113:AS113" si="1996">AF114+AF115</f>
        <v>50</v>
      </c>
      <c r="AG113" s="59">
        <f t="shared" si="1996"/>
        <v>44</v>
      </c>
      <c r="AH113" s="59">
        <f t="shared" si="1996"/>
        <v>74.179517426273506</v>
      </c>
      <c r="AI113" s="69">
        <f t="shared" si="1996"/>
        <v>2.0920034393809099</v>
      </c>
      <c r="AJ113" s="59">
        <f t="shared" si="1996"/>
        <v>2.0460017196904601</v>
      </c>
      <c r="AK113" s="59">
        <f t="shared" si="1996"/>
        <v>139.61282068582901</v>
      </c>
      <c r="AL113" s="69"/>
      <c r="AM113" s="69"/>
      <c r="AN113" s="69">
        <f t="shared" si="1996"/>
        <v>0</v>
      </c>
      <c r="AO113" s="69"/>
      <c r="AP113" s="69"/>
      <c r="AQ113" s="69">
        <f t="shared" si="1996"/>
        <v>0</v>
      </c>
      <c r="AR113" s="69"/>
      <c r="AS113" s="69">
        <f t="shared" ref="AS113:AU113" si="1997">AS114+AS115</f>
        <v>0</v>
      </c>
      <c r="AT113" s="403">
        <f t="shared" si="1997"/>
        <v>2.3965031844156399e-002</v>
      </c>
      <c r="AU113" s="69">
        <f t="shared" si="1997"/>
        <v>143.16662093635301</v>
      </c>
      <c r="AV113" s="69"/>
      <c r="AW113" s="71"/>
      <c r="AX113" s="69">
        <f>AX114+AX115</f>
        <v>1201</v>
      </c>
      <c r="AY113" s="69">
        <v>8183</v>
      </c>
      <c r="AZ113" s="69">
        <f>AZ114+AZ115</f>
        <v>7658.8253707964996</v>
      </c>
      <c r="BA113" s="69">
        <f>BA114+BA115</f>
        <v>-6457.8253707964996</v>
      </c>
      <c r="BB113" s="336">
        <f t="shared" si="1978"/>
        <v>-0.84318744169576199</v>
      </c>
      <c r="BC113" s="404">
        <v>-14747</v>
      </c>
      <c r="BD113" s="69">
        <f>BD114+BD115</f>
        <v>-21204.825370796501</v>
      </c>
      <c r="BG113" s="340"/>
    </row>
    <row r="114" s="5" customFormat="1" ht="30" customHeight="1">
      <c r="A114" s="44"/>
      <c r="B114" s="72" t="s">
        <v>160</v>
      </c>
      <c r="C114" s="46">
        <v>2</v>
      </c>
      <c r="D114" s="46"/>
      <c r="E114" s="46"/>
      <c r="F114" s="46"/>
      <c r="G114" s="73"/>
      <c r="H114" s="59">
        <f t="shared" ref="H114:H118" si="1998">SUM(I114:M114)</f>
        <v>0</v>
      </c>
      <c r="I114" s="59">
        <f t="shared" si="1934"/>
        <v>0</v>
      </c>
      <c r="J114" s="59">
        <f t="shared" si="1935"/>
        <v>0</v>
      </c>
      <c r="K114" s="59">
        <f t="shared" si="1936"/>
        <v>0</v>
      </c>
      <c r="L114" s="59">
        <f t="shared" si="1937"/>
        <v>0</v>
      </c>
      <c r="M114" s="59">
        <f t="shared" si="1938"/>
        <v>0</v>
      </c>
      <c r="N114" s="59"/>
      <c r="O114" s="59"/>
      <c r="P114" s="59">
        <f>L114*0.4+M114*0.6+N114*0.8+O114*1</f>
        <v>0</v>
      </c>
      <c r="Q114" s="59"/>
      <c r="R114" s="59"/>
      <c r="S114" s="59"/>
      <c r="T114" s="59"/>
      <c r="U114" s="59"/>
      <c r="V114" s="59">
        <f>H114/$H$9*134866+N114/$N$9*202299+P114/$P$9*100000+U114/$U$9*34867</f>
        <v>0</v>
      </c>
      <c r="W114" s="59"/>
      <c r="X114" s="62"/>
      <c r="Y114" s="62"/>
      <c r="Z114" s="62"/>
      <c r="AA114" s="59"/>
      <c r="AB114" s="59"/>
      <c r="AC114" s="59"/>
      <c r="AD114" s="59"/>
      <c r="AE114" s="59"/>
      <c r="AF114" s="59"/>
      <c r="AG114" s="59">
        <f t="shared" si="1939"/>
        <v>0</v>
      </c>
      <c r="AH114" s="59">
        <f>AG114/$AG$9*40459.89</f>
        <v>0</v>
      </c>
      <c r="AI114" s="59"/>
      <c r="AJ114" s="59">
        <f t="shared" si="1940"/>
        <v>0</v>
      </c>
      <c r="AK114" s="59">
        <f>AJ114/$AJ$9*40459.89</f>
        <v>0</v>
      </c>
      <c r="AL114" s="59"/>
      <c r="AM114" s="59"/>
      <c r="AN114" s="59"/>
      <c r="AO114" s="62"/>
      <c r="AP114" s="62"/>
      <c r="AQ114" s="59"/>
      <c r="AR114" s="59"/>
      <c r="AS114" s="59"/>
      <c r="AT114" s="189"/>
      <c r="AU114" s="59"/>
      <c r="AV114" s="59"/>
      <c r="AW114" s="59"/>
      <c r="AX114" s="59"/>
      <c r="AY114" s="59"/>
      <c r="AZ114" s="170"/>
      <c r="BA114" s="50"/>
      <c r="BB114" s="43"/>
      <c r="BC114" s="50">
        <v>0</v>
      </c>
      <c r="BD114" s="50"/>
      <c r="BG114" s="340"/>
    </row>
    <row r="115" s="5" customFormat="1" ht="17" customHeight="1">
      <c r="A115" s="75"/>
      <c r="B115" s="76" t="s">
        <v>76</v>
      </c>
      <c r="C115" s="77">
        <v>3</v>
      </c>
      <c r="D115" s="77"/>
      <c r="E115" s="77"/>
      <c r="F115" s="78"/>
      <c r="G115" s="79">
        <f>SUM(G116:G118)</f>
        <v>66152</v>
      </c>
      <c r="H115" s="79">
        <f>SUM(H116:H118)</f>
        <v>47523.800000000003</v>
      </c>
      <c r="I115" s="79">
        <f t="shared" ref="I115:U115" si="1999">SUM(I116:I118)</f>
        <v>7888.8000000000002</v>
      </c>
      <c r="J115" s="79">
        <f t="shared" si="1999"/>
        <v>19377.400000000001</v>
      </c>
      <c r="K115" s="79">
        <f t="shared" si="1999"/>
        <v>20257.599999999999</v>
      </c>
      <c r="L115" s="79">
        <f t="shared" si="1999"/>
        <v>0</v>
      </c>
      <c r="M115" s="79">
        <f t="shared" si="1999"/>
        <v>0</v>
      </c>
      <c r="N115" s="79">
        <f t="shared" si="1999"/>
        <v>8532</v>
      </c>
      <c r="O115" s="79">
        <f t="shared" si="1999"/>
        <v>753</v>
      </c>
      <c r="P115" s="79">
        <f t="shared" si="1999"/>
        <v>0</v>
      </c>
      <c r="Q115" s="59">
        <v>0</v>
      </c>
      <c r="R115" s="79">
        <f>SUM(R116:R118)</f>
        <v>0</v>
      </c>
      <c r="S115" s="79">
        <f>SUM(S116:S118)</f>
        <v>0</v>
      </c>
      <c r="T115" s="79">
        <f>SUM(T116:T118)</f>
        <v>0</v>
      </c>
      <c r="U115" s="79">
        <f>SUM(U116:U118)</f>
        <v>589</v>
      </c>
      <c r="V115" s="79">
        <f>SUM(V116:V118)</f>
        <v>754.059003481491</v>
      </c>
      <c r="W115" s="79"/>
      <c r="X115" s="79">
        <f t="shared" ref="X115:AE115" si="2000">SUM(X116:X118)</f>
        <v>1.0181732510142001</v>
      </c>
      <c r="Y115" s="79">
        <f t="shared" si="2000"/>
        <v>2.3200726103837002</v>
      </c>
      <c r="Z115" s="79">
        <f t="shared" si="2000"/>
        <v>0.94770666530041903</v>
      </c>
      <c r="AA115" s="79">
        <f t="shared" si="2000"/>
        <v>75.078217568644703</v>
      </c>
      <c r="AB115" s="79">
        <f t="shared" si="2000"/>
        <v>1184.2</v>
      </c>
      <c r="AC115" s="79">
        <f t="shared" si="2000"/>
        <v>14.940243696990599</v>
      </c>
      <c r="AD115" s="79"/>
      <c r="AE115" s="79"/>
      <c r="AF115" s="79">
        <f t="shared" ref="AF115:AS115" si="2001">SUM(AF116:AF118)</f>
        <v>50</v>
      </c>
      <c r="AG115" s="59">
        <f t="shared" si="2001"/>
        <v>44</v>
      </c>
      <c r="AH115" s="59">
        <f t="shared" si="2001"/>
        <v>74.179517426273506</v>
      </c>
      <c r="AI115" s="79">
        <f t="shared" si="2001"/>
        <v>2.0920034393809099</v>
      </c>
      <c r="AJ115" s="59">
        <f t="shared" si="2001"/>
        <v>2.0460017196904601</v>
      </c>
      <c r="AK115" s="59">
        <f t="shared" si="2001"/>
        <v>139.61282068582901</v>
      </c>
      <c r="AL115" s="79"/>
      <c r="AM115" s="79"/>
      <c r="AN115" s="79">
        <f t="shared" si="2001"/>
        <v>0</v>
      </c>
      <c r="AO115" s="79"/>
      <c r="AP115" s="79"/>
      <c r="AQ115" s="79">
        <f t="shared" si="2001"/>
        <v>0</v>
      </c>
      <c r="AR115" s="79"/>
      <c r="AS115" s="79">
        <f t="shared" ref="AS115:AU115" si="2002">SUM(AS116:AS118)</f>
        <v>0</v>
      </c>
      <c r="AT115" s="405">
        <f t="shared" si="2002"/>
        <v>2.3965031844156399e-002</v>
      </c>
      <c r="AU115" s="79">
        <f t="shared" si="2002"/>
        <v>143.16662093635301</v>
      </c>
      <c r="AV115" s="79"/>
      <c r="AW115" s="81"/>
      <c r="AX115" s="79">
        <f>SUM(AX116:AX118)</f>
        <v>1201</v>
      </c>
      <c r="AY115" s="79">
        <v>8183</v>
      </c>
      <c r="AZ115" s="79">
        <f>SUM(AZ116:AZ118)</f>
        <v>7658.8253707964996</v>
      </c>
      <c r="BA115" s="79">
        <f>SUM(BA116:BA118)</f>
        <v>-6457.8253707964996</v>
      </c>
      <c r="BB115" s="337">
        <f t="shared" si="1978"/>
        <v>-0.84318744169576199</v>
      </c>
      <c r="BC115" s="406">
        <v>-14747</v>
      </c>
      <c r="BD115" s="79">
        <f>SUM(BD116:BD118)</f>
        <v>-21204.825370796501</v>
      </c>
      <c r="BG115" s="340"/>
    </row>
    <row r="116" ht="17" customHeight="1">
      <c r="A116" s="46">
        <v>75</v>
      </c>
      <c r="B116" s="82" t="s">
        <v>161</v>
      </c>
      <c r="C116" s="46" t="s">
        <v>78</v>
      </c>
      <c r="D116" s="46"/>
      <c r="E116" s="46"/>
      <c r="F116" s="46" t="s">
        <v>146</v>
      </c>
      <c r="G116" s="73">
        <v>13148</v>
      </c>
      <c r="H116" s="59">
        <f t="shared" si="1998"/>
        <v>7888.8000000000002</v>
      </c>
      <c r="I116" s="59">
        <f t="shared" si="1934"/>
        <v>7888.8000000000002</v>
      </c>
      <c r="J116" s="59">
        <f t="shared" si="1935"/>
        <v>0</v>
      </c>
      <c r="K116" s="59">
        <f t="shared" si="1936"/>
        <v>0</v>
      </c>
      <c r="L116" s="59">
        <f t="shared" si="1937"/>
        <v>0</v>
      </c>
      <c r="M116" s="59">
        <f t="shared" si="1938"/>
        <v>0</v>
      </c>
      <c r="N116" s="59">
        <v>2047</v>
      </c>
      <c r="O116" s="59">
        <v>173</v>
      </c>
      <c r="P116" s="59">
        <f t="shared" ref="P116:P118" si="2003">Q116*0.6+R116*0.8+S116*1+T116*1.25</f>
        <v>0</v>
      </c>
      <c r="Q116" s="59"/>
      <c r="R116" s="59"/>
      <c r="S116" s="59"/>
      <c r="T116" s="59"/>
      <c r="U116" s="59">
        <v>0</v>
      </c>
      <c r="V116" s="59">
        <f t="shared" ref="V116:V118" si="2004">H116/$H$9*298699*0.12+N116/$N$9*298699*0.15+P116/$P$9*298699*0.035+U116/$U$9*298699*0.025</f>
        <v>151.729582773506</v>
      </c>
      <c r="W116" s="59">
        <v>12772.040000000001</v>
      </c>
      <c r="X116" s="62">
        <f t="shared" ref="X116:X118" si="2005">($W$64-W116)/($W$64-$W$44)</f>
        <v>0.46578839506730702</v>
      </c>
      <c r="Y116" s="62">
        <f t="shared" ref="Y116:Y118" si="2006">(G116+N116)*X116/10000</f>
        <v>0.707765466304772</v>
      </c>
      <c r="Z116" s="62">
        <f>Y116*0.2</f>
        <v>0.141553093260954</v>
      </c>
      <c r="AA116" s="59">
        <f t="shared" ref="AA116:AA118" si="2007">Z116/$Z$9*298699*0.12</f>
        <v>11.213969809942901</v>
      </c>
      <c r="AB116" s="59"/>
      <c r="AC116" s="59">
        <f t="shared" ref="AC116:AC118" si="2008">(AB116/$AB$9*298699*0.03)</f>
        <v>0</v>
      </c>
      <c r="AD116" s="59"/>
      <c r="AE116" s="59"/>
      <c r="AF116" s="59">
        <v>12</v>
      </c>
      <c r="AG116" s="59">
        <f>AF116*0.5</f>
        <v>6</v>
      </c>
      <c r="AH116" s="59">
        <f t="shared" ref="AH116:AH118" si="2009">AG116/$AG$9*298699*0.02</f>
        <v>10.1153887399464</v>
      </c>
      <c r="AI116" s="59">
        <v>9.2003439380911406e-002</v>
      </c>
      <c r="AJ116" s="59">
        <f>AI116*0.5</f>
        <v>4.6001719690455703e-002</v>
      </c>
      <c r="AK116" s="59">
        <f t="shared" ref="AK116:AK118" si="2010">AJ116/$AJ$9*298699*0.02</f>
        <v>3.1390148798873101</v>
      </c>
      <c r="AL116" s="338"/>
      <c r="AM116" s="59"/>
      <c r="AN116" s="59"/>
      <c r="AO116" s="62"/>
      <c r="AP116" s="62"/>
      <c r="AQ116" s="59"/>
      <c r="AR116" s="59"/>
      <c r="AS116" s="59"/>
      <c r="AT116" s="189">
        <f>VLOOKUP(B:B,综合进度!B:N,13,0)</f>
        <v>4.4487814036240801e-003</v>
      </c>
      <c r="AU116" s="59">
        <f t="shared" ref="AU116:AU118" si="2011">AT116/$AT$9*298699*0.02</f>
        <v>26.576931129622199</v>
      </c>
      <c r="AV116" s="59"/>
      <c r="AW116" s="59"/>
      <c r="AX116" s="59">
        <f t="shared" ref="AX116:AX118" si="2012">ROUND(V116+AA116+AC116+AN116+AQ116+AS116+AU116+AW116+AH116+AK116,0)</f>
        <v>203</v>
      </c>
      <c r="AY116" s="59">
        <v>1298</v>
      </c>
      <c r="AZ116" s="59">
        <f t="shared" ref="AZ116:AZ118" si="2013">AY116/$AY$9*280243</f>
        <v>1214.8546170467901</v>
      </c>
      <c r="BA116" s="59">
        <f t="shared" ref="BA116:BA118" si="2014">AX116-AZ116</f>
        <v>-1011.8546170467901</v>
      </c>
      <c r="BB116" s="43">
        <f t="shared" si="1978"/>
        <v>-0.83290181627372295</v>
      </c>
      <c r="BC116" s="50">
        <v>-2752</v>
      </c>
      <c r="BD116" s="50">
        <f t="shared" ref="BD116:BD118" si="2015">BC116+BA116</f>
        <v>-3763.8546170467898</v>
      </c>
      <c r="BG116" s="340"/>
    </row>
    <row r="117" ht="17" customHeight="1">
      <c r="A117" s="46">
        <v>76</v>
      </c>
      <c r="B117" s="82" t="s">
        <v>162</v>
      </c>
      <c r="C117" s="46" t="s">
        <v>90</v>
      </c>
      <c r="D117" s="46">
        <v>2017</v>
      </c>
      <c r="E117" s="46"/>
      <c r="F117" s="46" t="s">
        <v>146</v>
      </c>
      <c r="G117" s="73">
        <v>27682</v>
      </c>
      <c r="H117" s="59">
        <f t="shared" si="1998"/>
        <v>19377.400000000001</v>
      </c>
      <c r="I117" s="59">
        <f t="shared" si="1934"/>
        <v>0</v>
      </c>
      <c r="J117" s="59">
        <f t="shared" si="1935"/>
        <v>19377.400000000001</v>
      </c>
      <c r="K117" s="59">
        <f t="shared" si="1936"/>
        <v>0</v>
      </c>
      <c r="L117" s="59">
        <f t="shared" si="1937"/>
        <v>0</v>
      </c>
      <c r="M117" s="59">
        <f t="shared" si="1938"/>
        <v>0</v>
      </c>
      <c r="N117" s="59">
        <v>3510</v>
      </c>
      <c r="O117" s="59">
        <v>459</v>
      </c>
      <c r="P117" s="59">
        <f t="shared" si="2003"/>
        <v>0</v>
      </c>
      <c r="Q117" s="59"/>
      <c r="R117" s="59"/>
      <c r="S117" s="59"/>
      <c r="T117" s="59"/>
      <c r="U117" s="59">
        <v>50</v>
      </c>
      <c r="V117" s="59">
        <f t="shared" si="2004"/>
        <v>299.38830069670598</v>
      </c>
      <c r="W117" s="59">
        <v>14604.860000000001</v>
      </c>
      <c r="X117" s="62">
        <f t="shared" si="2005"/>
        <v>0.170030111247019</v>
      </c>
      <c r="Y117" s="62">
        <f t="shared" si="2006"/>
        <v>0.53035792300170104</v>
      </c>
      <c r="Z117" s="62">
        <f t="shared" ref="Z117:Z118" si="2016">Y117*0.5</f>
        <v>0.26517896150085002</v>
      </c>
      <c r="AA117" s="59">
        <f t="shared" si="2007"/>
        <v>21.0077279132325</v>
      </c>
      <c r="AB117" s="59">
        <v>131.09999999999999</v>
      </c>
      <c r="AC117" s="59">
        <f t="shared" si="2008"/>
        <v>1.6539992810973401</v>
      </c>
      <c r="AD117" s="59"/>
      <c r="AE117" s="59"/>
      <c r="AF117" s="59">
        <v>17</v>
      </c>
      <c r="AG117" s="59">
        <f t="shared" si="1939"/>
        <v>17</v>
      </c>
      <c r="AH117" s="59">
        <f t="shared" si="2009"/>
        <v>28.660268096514699</v>
      </c>
      <c r="AI117" s="59">
        <v>1</v>
      </c>
      <c r="AJ117" s="59">
        <f t="shared" si="1940"/>
        <v>1</v>
      </c>
      <c r="AK117" s="59">
        <f t="shared" si="2010"/>
        <v>68.236902902970996</v>
      </c>
      <c r="AL117" s="338"/>
      <c r="AM117" s="59"/>
      <c r="AN117" s="59"/>
      <c r="AO117" s="62"/>
      <c r="AP117" s="62"/>
      <c r="AQ117" s="59"/>
      <c r="AR117" s="59"/>
      <c r="AS117" s="59"/>
      <c r="AT117" s="189">
        <f>VLOOKUP(B:B,综合进度!B:N,13,0)</f>
        <v>5.2346414779297799e-003</v>
      </c>
      <c r="AU117" s="59">
        <f t="shared" si="2011"/>
        <v>31.271643496322898</v>
      </c>
      <c r="AV117" s="59"/>
      <c r="AW117" s="59"/>
      <c r="AX117" s="59">
        <f t="shared" si="2012"/>
        <v>450</v>
      </c>
      <c r="AY117" s="59">
        <v>1946</v>
      </c>
      <c r="AZ117" s="59">
        <f t="shared" si="2013"/>
        <v>1821.3459821055801</v>
      </c>
      <c r="BA117" s="59">
        <f t="shared" si="2014"/>
        <v>-1371.3459821055801</v>
      </c>
      <c r="BB117" s="43">
        <f t="shared" si="1978"/>
        <v>-0.75292997353541102</v>
      </c>
      <c r="BC117" s="50">
        <v>-1593</v>
      </c>
      <c r="BD117" s="50">
        <f t="shared" si="2015"/>
        <v>-2964.3459821055799</v>
      </c>
      <c r="BG117" s="340"/>
    </row>
    <row r="118" ht="17" customHeight="1">
      <c r="A118" s="46">
        <v>77</v>
      </c>
      <c r="B118" s="82" t="s">
        <v>163</v>
      </c>
      <c r="C118" s="46" t="s">
        <v>90</v>
      </c>
      <c r="D118" s="46">
        <v>2018</v>
      </c>
      <c r="E118" s="46"/>
      <c r="F118" s="46" t="s">
        <v>146</v>
      </c>
      <c r="G118" s="73">
        <v>25322</v>
      </c>
      <c r="H118" s="59">
        <f t="shared" si="1998"/>
        <v>20257.599999999999</v>
      </c>
      <c r="I118" s="59">
        <f t="shared" ref="I118:I149" si="2017">IF(D118="",G118*0.6,0)</f>
        <v>0</v>
      </c>
      <c r="J118" s="59">
        <f t="shared" ref="J118:J149" si="2018">IF(D118=2017,G118*0.7,0)</f>
        <v>0</v>
      </c>
      <c r="K118" s="59">
        <f t="shared" ref="K118:K149" si="2019">IF(D118=2018,G118*0.8,0)</f>
        <v>20257.599999999999</v>
      </c>
      <c r="L118" s="59">
        <f t="shared" ref="L118:L149" si="2020">IF(D118=2019,G118*0.9,0)</f>
        <v>0</v>
      </c>
      <c r="M118" s="59">
        <f t="shared" ref="M118:M149" si="2021">IF(D118=2020,G118*1,0)</f>
        <v>0</v>
      </c>
      <c r="N118" s="59">
        <v>2975</v>
      </c>
      <c r="O118" s="59">
        <v>121</v>
      </c>
      <c r="P118" s="59">
        <f t="shared" si="2003"/>
        <v>0</v>
      </c>
      <c r="Q118" s="59"/>
      <c r="R118" s="59"/>
      <c r="S118" s="59"/>
      <c r="T118" s="59"/>
      <c r="U118" s="59">
        <v>539</v>
      </c>
      <c r="V118" s="59">
        <f t="shared" si="2004"/>
        <v>302.94112001128002</v>
      </c>
      <c r="W118" s="59">
        <v>13289.08</v>
      </c>
      <c r="X118" s="62">
        <f t="shared" si="2005"/>
        <v>0.38235474469987202</v>
      </c>
      <c r="Y118" s="62">
        <f t="shared" si="2006"/>
        <v>1.0819492210772299</v>
      </c>
      <c r="Z118" s="62">
        <f t="shared" si="2016"/>
        <v>0.54097461053861395</v>
      </c>
      <c r="AA118" s="59">
        <f t="shared" si="2007"/>
        <v>42.856519845469201</v>
      </c>
      <c r="AB118" s="59">
        <v>1053.0999999999999</v>
      </c>
      <c r="AC118" s="59">
        <f t="shared" si="2008"/>
        <v>13.2862444158933</v>
      </c>
      <c r="AD118" s="59"/>
      <c r="AE118" s="59"/>
      <c r="AF118" s="59">
        <v>21</v>
      </c>
      <c r="AG118" s="59">
        <f t="shared" ref="AG118:AG149" si="2022">AF118</f>
        <v>21</v>
      </c>
      <c r="AH118" s="59">
        <f t="shared" si="2009"/>
        <v>35.403860589812297</v>
      </c>
      <c r="AI118" s="59">
        <v>1</v>
      </c>
      <c r="AJ118" s="59">
        <f t="shared" ref="AJ118:AJ149" si="2023">AI118</f>
        <v>1</v>
      </c>
      <c r="AK118" s="59">
        <f t="shared" si="2010"/>
        <v>68.236902902970996</v>
      </c>
      <c r="AL118" s="338"/>
      <c r="AM118" s="59"/>
      <c r="AN118" s="59"/>
      <c r="AO118" s="62"/>
      <c r="AP118" s="62"/>
      <c r="AQ118" s="59"/>
      <c r="AR118" s="59"/>
      <c r="AS118" s="59"/>
      <c r="AT118" s="189">
        <f>VLOOKUP(B:B,综合进度!B:N,13,0)</f>
        <v>1.4281608962602501e-002</v>
      </c>
      <c r="AU118" s="59">
        <f t="shared" si="2011"/>
        <v>85.318046310408207</v>
      </c>
      <c r="AV118" s="59"/>
      <c r="AW118" s="59"/>
      <c r="AX118" s="59">
        <f t="shared" si="2012"/>
        <v>548</v>
      </c>
      <c r="AY118" s="59">
        <v>4939</v>
      </c>
      <c r="AZ118" s="59">
        <f t="shared" si="2013"/>
        <v>4622.6247716441303</v>
      </c>
      <c r="BA118" s="59">
        <f t="shared" si="2014"/>
        <v>-4074.6247716441299</v>
      </c>
      <c r="BB118" s="43">
        <f t="shared" si="1978"/>
        <v>-0.88145263198486001</v>
      </c>
      <c r="BC118" s="50">
        <v>-10402</v>
      </c>
      <c r="BD118" s="50">
        <f t="shared" si="2015"/>
        <v>-14476.624771644099</v>
      </c>
      <c r="BG118" s="340"/>
    </row>
    <row r="119" s="5" customFormat="1" ht="17" customHeight="1">
      <c r="A119" s="65"/>
      <c r="B119" s="66" t="s">
        <v>164</v>
      </c>
      <c r="C119" s="67">
        <v>1</v>
      </c>
      <c r="D119" s="67"/>
      <c r="E119" s="67"/>
      <c r="F119" s="68"/>
      <c r="G119" s="69">
        <f>G120+G121</f>
        <v>310681</v>
      </c>
      <c r="H119" s="69">
        <f>H120+H121</f>
        <v>239406.79999999999</v>
      </c>
      <c r="I119" s="69">
        <f t="shared" ref="I119:U119" si="2024">I120+I121</f>
        <v>46182.599999999999</v>
      </c>
      <c r="J119" s="69">
        <f t="shared" si="2024"/>
        <v>23061.5</v>
      </c>
      <c r="K119" s="69">
        <f t="shared" si="2024"/>
        <v>84206.399999999994</v>
      </c>
      <c r="L119" s="69">
        <f t="shared" si="2024"/>
        <v>85956.300000000003</v>
      </c>
      <c r="M119" s="69">
        <f t="shared" si="2024"/>
        <v>0</v>
      </c>
      <c r="N119" s="69">
        <f t="shared" si="2024"/>
        <v>43685</v>
      </c>
      <c r="O119" s="69">
        <f t="shared" si="2024"/>
        <v>47828</v>
      </c>
      <c r="P119" s="69">
        <f t="shared" si="2024"/>
        <v>5380.1999999999998</v>
      </c>
      <c r="Q119" s="59">
        <v>8967</v>
      </c>
      <c r="R119" s="69">
        <f>R120+R121</f>
        <v>0</v>
      </c>
      <c r="S119" s="69">
        <f>S120+S121</f>
        <v>0</v>
      </c>
      <c r="T119" s="69">
        <f>T120+T121</f>
        <v>0</v>
      </c>
      <c r="U119" s="69">
        <f>U120+U121</f>
        <v>5701</v>
      </c>
      <c r="V119" s="69">
        <f>V120+V121</f>
        <v>4096.2547291544497</v>
      </c>
      <c r="W119" s="69"/>
      <c r="X119" s="69">
        <f t="shared" ref="X119:AE119" si="2025">X120+X121</f>
        <v>4.7602573495002396</v>
      </c>
      <c r="Y119" s="69">
        <f t="shared" si="2025"/>
        <v>18.048825724783899</v>
      </c>
      <c r="Z119" s="69">
        <f t="shared" si="2025"/>
        <v>11.1234004957706</v>
      </c>
      <c r="AA119" s="69">
        <f t="shared" si="2025"/>
        <v>881.20629842768994</v>
      </c>
      <c r="AB119" s="69">
        <f t="shared" si="2025"/>
        <v>36847.911999999997</v>
      </c>
      <c r="AC119" s="69">
        <f t="shared" si="2025"/>
        <v>464.88497298198502</v>
      </c>
      <c r="AD119" s="69"/>
      <c r="AE119" s="69"/>
      <c r="AF119" s="69">
        <f t="shared" ref="AF119:AS119" si="2026">AF120+AF121</f>
        <v>565</v>
      </c>
      <c r="AG119" s="59">
        <f t="shared" si="2026"/>
        <v>442.5</v>
      </c>
      <c r="AH119" s="59">
        <f t="shared" si="2026"/>
        <v>746.009919571046</v>
      </c>
      <c r="AI119" s="69">
        <f t="shared" si="2026"/>
        <v>10</v>
      </c>
      <c r="AJ119" s="59">
        <f t="shared" si="2026"/>
        <v>8.5</v>
      </c>
      <c r="AK119" s="59">
        <f t="shared" si="2026"/>
        <v>580.01367467525301</v>
      </c>
      <c r="AL119" s="69"/>
      <c r="AM119" s="69"/>
      <c r="AN119" s="69">
        <f t="shared" si="2026"/>
        <v>1000</v>
      </c>
      <c r="AO119" s="69"/>
      <c r="AP119" s="69"/>
      <c r="AQ119" s="69">
        <f t="shared" si="2026"/>
        <v>0</v>
      </c>
      <c r="AR119" s="69"/>
      <c r="AS119" s="69">
        <f t="shared" ref="AS119:AU119" si="2027">AS120+AS121</f>
        <v>0</v>
      </c>
      <c r="AT119" s="403">
        <f t="shared" si="2027"/>
        <v>4.4724014282303902e-002</v>
      </c>
      <c r="AU119" s="69">
        <f t="shared" si="2027"/>
        <v>267.180366842198</v>
      </c>
      <c r="AV119" s="69"/>
      <c r="AW119" s="71"/>
      <c r="AX119" s="69">
        <f>AX120+AX121</f>
        <v>8036</v>
      </c>
      <c r="AY119" s="69">
        <v>8701</v>
      </c>
      <c r="AZ119" s="69">
        <f>AZ120+AZ121</f>
        <v>8143.6440854577004</v>
      </c>
      <c r="BA119" s="69">
        <f>BA120+BA121</f>
        <v>-107.644085457697</v>
      </c>
      <c r="BB119" s="336">
        <f t="shared" si="1978"/>
        <v>-1.32181716597757e-002</v>
      </c>
      <c r="BC119" s="404">
        <v>13369</v>
      </c>
      <c r="BD119" s="69">
        <f>BD120+BD121</f>
        <v>13214.355914542301</v>
      </c>
      <c r="BG119" s="340"/>
    </row>
    <row r="120" s="5" customFormat="1" ht="17" customHeight="1">
      <c r="A120" s="44"/>
      <c r="B120" s="72" t="s">
        <v>165</v>
      </c>
      <c r="C120" s="46">
        <v>2</v>
      </c>
      <c r="D120" s="46"/>
      <c r="E120" s="46"/>
      <c r="F120" s="46"/>
      <c r="G120" s="73"/>
      <c r="H120" s="59">
        <f t="shared" ref="H120:H131" si="2028">SUM(I120:M120)</f>
        <v>0</v>
      </c>
      <c r="I120" s="59">
        <f t="shared" si="2017"/>
        <v>0</v>
      </c>
      <c r="J120" s="59">
        <f t="shared" si="2018"/>
        <v>0</v>
      </c>
      <c r="K120" s="59">
        <f t="shared" si="2019"/>
        <v>0</v>
      </c>
      <c r="L120" s="59">
        <f t="shared" si="2020"/>
        <v>0</v>
      </c>
      <c r="M120" s="59">
        <f t="shared" si="2021"/>
        <v>0</v>
      </c>
      <c r="N120" s="59"/>
      <c r="O120" s="59"/>
      <c r="P120" s="59">
        <f>L120*0.4+M120*0.6+N120*0.8+O120*1</f>
        <v>0</v>
      </c>
      <c r="Q120" s="59"/>
      <c r="R120" s="59"/>
      <c r="S120" s="59"/>
      <c r="T120" s="59"/>
      <c r="U120" s="59"/>
      <c r="V120" s="59">
        <f>H120/$H$9*134866+N120/$N$9*202299+P120/$P$9*100000+U120/$U$9*34867</f>
        <v>0</v>
      </c>
      <c r="W120" s="59"/>
      <c r="X120" s="62"/>
      <c r="Y120" s="62"/>
      <c r="Z120" s="62"/>
      <c r="AA120" s="59"/>
      <c r="AB120" s="59"/>
      <c r="AC120" s="59"/>
      <c r="AD120" s="59"/>
      <c r="AE120" s="59"/>
      <c r="AF120" s="59"/>
      <c r="AG120" s="59">
        <f t="shared" si="2022"/>
        <v>0</v>
      </c>
      <c r="AH120" s="59">
        <f>AG120/$AG$9*40459.89</f>
        <v>0</v>
      </c>
      <c r="AI120" s="59"/>
      <c r="AJ120" s="59">
        <f t="shared" si="2023"/>
        <v>0</v>
      </c>
      <c r="AK120" s="59">
        <f>AJ120/$AJ$9*40459.89</f>
        <v>0</v>
      </c>
      <c r="AL120" s="59"/>
      <c r="AM120" s="59"/>
      <c r="AN120" s="59"/>
      <c r="AO120" s="62"/>
      <c r="AP120" s="62"/>
      <c r="AQ120" s="59"/>
      <c r="AR120" s="59"/>
      <c r="AS120" s="59"/>
      <c r="AT120" s="189"/>
      <c r="AU120" s="59"/>
      <c r="AV120" s="59"/>
      <c r="AW120" s="59"/>
      <c r="AX120" s="59"/>
      <c r="AY120" s="59"/>
      <c r="AZ120" s="170"/>
      <c r="BA120" s="50"/>
      <c r="BB120" s="43"/>
      <c r="BC120" s="50">
        <v>47</v>
      </c>
      <c r="BD120" s="50"/>
      <c r="BG120" s="340"/>
    </row>
    <row r="121" s="5" customFormat="1" ht="17" customHeight="1">
      <c r="A121" s="75"/>
      <c r="B121" s="76" t="s">
        <v>76</v>
      </c>
      <c r="C121" s="77">
        <v>3</v>
      </c>
      <c r="D121" s="77"/>
      <c r="E121" s="77"/>
      <c r="F121" s="78"/>
      <c r="G121" s="79">
        <f>SUM(G122:G131)</f>
        <v>310681</v>
      </c>
      <c r="H121" s="79">
        <f>SUM(H122:H131)</f>
        <v>239406.79999999999</v>
      </c>
      <c r="I121" s="79">
        <f t="shared" ref="I121:U121" si="2029">SUM(I122:I131)</f>
        <v>46182.599999999999</v>
      </c>
      <c r="J121" s="79">
        <f t="shared" si="2029"/>
        <v>23061.5</v>
      </c>
      <c r="K121" s="79">
        <f t="shared" si="2029"/>
        <v>84206.399999999994</v>
      </c>
      <c r="L121" s="79">
        <f t="shared" si="2029"/>
        <v>85956.300000000003</v>
      </c>
      <c r="M121" s="79">
        <f t="shared" si="2029"/>
        <v>0</v>
      </c>
      <c r="N121" s="79">
        <f t="shared" si="2029"/>
        <v>43685</v>
      </c>
      <c r="O121" s="79">
        <f t="shared" si="2029"/>
        <v>47828</v>
      </c>
      <c r="P121" s="79">
        <f t="shared" si="2029"/>
        <v>5380.1999999999998</v>
      </c>
      <c r="Q121" s="59">
        <v>8967</v>
      </c>
      <c r="R121" s="79">
        <f>SUM(R122:R131)</f>
        <v>0</v>
      </c>
      <c r="S121" s="79">
        <f>SUM(S122:S131)</f>
        <v>0</v>
      </c>
      <c r="T121" s="79">
        <f>SUM(T122:T131)</f>
        <v>0</v>
      </c>
      <c r="U121" s="79">
        <f>SUM(U122:U131)</f>
        <v>5701</v>
      </c>
      <c r="V121" s="79">
        <f>SUM(V122:V131)</f>
        <v>4096.2547291544497</v>
      </c>
      <c r="W121" s="79"/>
      <c r="X121" s="79">
        <f t="shared" ref="X121:AE121" si="2030">SUM(X122:X131)</f>
        <v>4.7602573495002396</v>
      </c>
      <c r="Y121" s="79">
        <f t="shared" si="2030"/>
        <v>18.048825724783899</v>
      </c>
      <c r="Z121" s="79">
        <f t="shared" si="2030"/>
        <v>11.1234004957706</v>
      </c>
      <c r="AA121" s="79">
        <f t="shared" si="2030"/>
        <v>881.20629842768994</v>
      </c>
      <c r="AB121" s="79">
        <f t="shared" si="2030"/>
        <v>36847.911999999997</v>
      </c>
      <c r="AC121" s="79">
        <f t="shared" si="2030"/>
        <v>464.88497298198502</v>
      </c>
      <c r="AD121" s="79"/>
      <c r="AE121" s="79"/>
      <c r="AF121" s="79">
        <f t="shared" ref="AF121:AS121" si="2031">SUM(AF122:AF131)</f>
        <v>565</v>
      </c>
      <c r="AG121" s="59">
        <f t="shared" si="2031"/>
        <v>442.5</v>
      </c>
      <c r="AH121" s="59">
        <f t="shared" si="2031"/>
        <v>746.009919571046</v>
      </c>
      <c r="AI121" s="79">
        <f t="shared" si="2031"/>
        <v>10</v>
      </c>
      <c r="AJ121" s="59">
        <f t="shared" si="2031"/>
        <v>8.5</v>
      </c>
      <c r="AK121" s="59">
        <f t="shared" si="2031"/>
        <v>580.01367467525301</v>
      </c>
      <c r="AL121" s="79"/>
      <c r="AM121" s="79"/>
      <c r="AN121" s="79">
        <f t="shared" si="2031"/>
        <v>1000</v>
      </c>
      <c r="AO121" s="79"/>
      <c r="AP121" s="79"/>
      <c r="AQ121" s="79">
        <f t="shared" si="2031"/>
        <v>0</v>
      </c>
      <c r="AR121" s="79"/>
      <c r="AS121" s="79">
        <f t="shared" ref="AS121:AU121" si="2032">SUM(AS122:AS131)</f>
        <v>0</v>
      </c>
      <c r="AT121" s="405">
        <f t="shared" si="2032"/>
        <v>4.4724014282303902e-002</v>
      </c>
      <c r="AU121" s="79">
        <f t="shared" si="2032"/>
        <v>267.180366842198</v>
      </c>
      <c r="AV121" s="79"/>
      <c r="AW121" s="81"/>
      <c r="AX121" s="79">
        <f>SUM(AX122:AX131)</f>
        <v>8036</v>
      </c>
      <c r="AY121" s="79">
        <v>8701</v>
      </c>
      <c r="AZ121" s="79">
        <f>SUM(AZ122:AZ131)</f>
        <v>8143.6440854577004</v>
      </c>
      <c r="BA121" s="79">
        <f>SUM(BA122:BA131)</f>
        <v>-107.644085457697</v>
      </c>
      <c r="BB121" s="337">
        <f t="shared" si="1978"/>
        <v>-1.32181716597757e-002</v>
      </c>
      <c r="BC121" s="406">
        <v>13322</v>
      </c>
      <c r="BD121" s="79">
        <f>SUM(BD122:BD131)</f>
        <v>13214.355914542301</v>
      </c>
      <c r="BG121" s="340"/>
    </row>
    <row r="122" s="5" customFormat="1" ht="17" customHeight="1">
      <c r="A122" s="46">
        <v>78</v>
      </c>
      <c r="B122" s="82" t="s">
        <v>166</v>
      </c>
      <c r="C122" s="46" t="s">
        <v>78</v>
      </c>
      <c r="D122" s="46"/>
      <c r="E122" s="46"/>
      <c r="F122" s="46"/>
      <c r="G122" s="73">
        <v>33951</v>
      </c>
      <c r="H122" s="59">
        <f t="shared" si="2028"/>
        <v>20370.599999999999</v>
      </c>
      <c r="I122" s="59">
        <f t="shared" si="2017"/>
        <v>20370.599999999999</v>
      </c>
      <c r="J122" s="59">
        <f t="shared" si="2018"/>
        <v>0</v>
      </c>
      <c r="K122" s="59">
        <f t="shared" si="2019"/>
        <v>0</v>
      </c>
      <c r="L122" s="59">
        <f t="shared" si="2020"/>
        <v>0</v>
      </c>
      <c r="M122" s="59">
        <f t="shared" si="2021"/>
        <v>0</v>
      </c>
      <c r="N122" s="59">
        <v>4811</v>
      </c>
      <c r="O122" s="59">
        <v>1850</v>
      </c>
      <c r="P122" s="59">
        <f t="shared" ref="P122:P131" si="2033">Q122*0.6+R122*0.8+S122*1+T122*1.25</f>
        <v>0</v>
      </c>
      <c r="Q122" s="59"/>
      <c r="R122" s="59"/>
      <c r="S122" s="59"/>
      <c r="T122" s="59"/>
      <c r="U122" s="59">
        <v>913</v>
      </c>
      <c r="V122" s="59">
        <f t="shared" ref="V122:V131" si="2034">H122/$H$9*298699*0.12+N122/$N$9*298699*0.15+P122/$P$9*298699*0.035+U122/$U$9*298699*0.025</f>
        <v>414.30927588158698</v>
      </c>
      <c r="W122" s="59">
        <v>13094.16</v>
      </c>
      <c r="X122" s="62">
        <f t="shared" ref="X122:X131" si="2035">($W$64-W122)/($W$64-$W$44)</f>
        <v>0.41380857250743103</v>
      </c>
      <c r="Y122" s="62">
        <f t="shared" ref="Y122:Y131" si="2036">(G122+N122)*X122/10000</f>
        <v>1.6040047887533</v>
      </c>
      <c r="Z122" s="62">
        <f>Y122*0.2</f>
        <v>0.32080095775066098</v>
      </c>
      <c r="AA122" s="59">
        <f t="shared" ref="AA122:AA131" si="2037">Z122/$Z$9*298699*0.12</f>
        <v>25.414155016625099</v>
      </c>
      <c r="AB122" s="59">
        <v>3023.8299999999999</v>
      </c>
      <c r="AC122" s="59">
        <f t="shared" ref="AC122:AC131" si="2038">(AB122/$AB$9*298699*0.03)</f>
        <v>38.149600657212702</v>
      </c>
      <c r="AD122" s="59"/>
      <c r="AE122" s="59"/>
      <c r="AF122" s="59">
        <v>45</v>
      </c>
      <c r="AG122" s="59">
        <f>AF122*0.5</f>
        <v>22.5</v>
      </c>
      <c r="AH122" s="59">
        <f t="shared" ref="AH122:AH131" si="2039">AG122/$AG$9*298699*0.02</f>
        <v>37.932707774798899</v>
      </c>
      <c r="AI122" s="59">
        <v>1</v>
      </c>
      <c r="AJ122" s="59">
        <f>AI122*0.5</f>
        <v>0.5</v>
      </c>
      <c r="AK122" s="59">
        <f t="shared" ref="AK122:AK131" si="2040">AJ122/$AJ$9*298699*0.02</f>
        <v>34.118451451485498</v>
      </c>
      <c r="AL122" s="338"/>
      <c r="AM122" s="59"/>
      <c r="AN122" s="59"/>
      <c r="AO122" s="62"/>
      <c r="AP122" s="62"/>
      <c r="AQ122" s="59"/>
      <c r="AR122" s="59"/>
      <c r="AS122" s="59"/>
      <c r="AT122" s="189">
        <f>VLOOKUP(B:B,综合进度!B:N,13,0)</f>
        <v>3.7992912109276098e-003</v>
      </c>
      <c r="AU122" s="59">
        <f t="shared" ref="AU122:AU131" si="2041">AT122/$AT$9*298699*0.02</f>
        <v>22.696889708257299</v>
      </c>
      <c r="AV122" s="59"/>
      <c r="AW122" s="59"/>
      <c r="AX122" s="59">
        <f t="shared" ref="AX122:AX131" si="2042">ROUND(V122+AA122+AC122+AN122+AQ122+AS122+AU122+AW122+AH122+AK122,0)</f>
        <v>573</v>
      </c>
      <c r="AY122" s="59">
        <v>361</v>
      </c>
      <c r="AZ122" s="59">
        <f t="shared" ref="AZ122:AZ131" si="2043">AY122/$AY$9*280243</f>
        <v>337.87559071948402</v>
      </c>
      <c r="BA122" s="59">
        <f t="shared" ref="BA122:BA131" si="2044">AX122-AZ122</f>
        <v>235.12440928051601</v>
      </c>
      <c r="BB122" s="43">
        <f t="shared" si="1978"/>
        <v>0.69589048673162301</v>
      </c>
      <c r="BC122" s="50">
        <v>1925</v>
      </c>
      <c r="BD122" s="50">
        <f t="shared" ref="BD122:BD131" si="2045">BC122+BA122</f>
        <v>2160.12440928052</v>
      </c>
      <c r="BG122" s="340"/>
    </row>
    <row r="123" s="5" customFormat="1" ht="17" customHeight="1">
      <c r="A123" s="46">
        <v>79</v>
      </c>
      <c r="B123" s="82" t="s">
        <v>167</v>
      </c>
      <c r="C123" s="46" t="s">
        <v>90</v>
      </c>
      <c r="D123" s="46">
        <v>2018</v>
      </c>
      <c r="E123" s="46"/>
      <c r="F123" s="46"/>
      <c r="G123" s="73">
        <v>22402</v>
      </c>
      <c r="H123" s="59">
        <f t="shared" si="2028"/>
        <v>17921.599999999999</v>
      </c>
      <c r="I123" s="59">
        <f t="shared" si="2017"/>
        <v>0</v>
      </c>
      <c r="J123" s="59">
        <f t="shared" si="2018"/>
        <v>0</v>
      </c>
      <c r="K123" s="59">
        <f t="shared" si="2019"/>
        <v>17921.599999999999</v>
      </c>
      <c r="L123" s="59">
        <f t="shared" si="2020"/>
        <v>0</v>
      </c>
      <c r="M123" s="59">
        <f t="shared" si="2021"/>
        <v>0</v>
      </c>
      <c r="N123" s="59">
        <v>4048</v>
      </c>
      <c r="O123" s="59">
        <v>5801</v>
      </c>
      <c r="P123" s="59">
        <f t="shared" si="2033"/>
        <v>900.60000000000002</v>
      </c>
      <c r="Q123" s="59">
        <v>1501</v>
      </c>
      <c r="R123" s="59"/>
      <c r="S123" s="59"/>
      <c r="T123" s="59"/>
      <c r="U123" s="59">
        <v>467</v>
      </c>
      <c r="V123" s="59">
        <f t="shared" si="2034"/>
        <v>359.00696274363003</v>
      </c>
      <c r="W123" s="59">
        <v>11951.799999999999</v>
      </c>
      <c r="X123" s="62">
        <f t="shared" si="2035"/>
        <v>0.59814878764309298</v>
      </c>
      <c r="Y123" s="62">
        <f t="shared" si="2036"/>
        <v>1.58210354331598</v>
      </c>
      <c r="Z123" s="62">
        <f t="shared" ref="Z123:Z128" si="2046">Y123*0.5</f>
        <v>0.79105177165799101</v>
      </c>
      <c r="AA123" s="59">
        <f t="shared" si="2037"/>
        <v>62.667868861905603</v>
      </c>
      <c r="AB123" s="59">
        <v>2246</v>
      </c>
      <c r="AC123" s="59">
        <f t="shared" si="2038"/>
        <v>28.336250078906399</v>
      </c>
      <c r="AD123" s="59"/>
      <c r="AE123" s="59"/>
      <c r="AF123" s="59">
        <v>69</v>
      </c>
      <c r="AG123" s="59">
        <f t="shared" si="2022"/>
        <v>69</v>
      </c>
      <c r="AH123" s="59">
        <f t="shared" si="2039"/>
        <v>116.326970509383</v>
      </c>
      <c r="AI123" s="59">
        <v>1</v>
      </c>
      <c r="AJ123" s="59">
        <f t="shared" si="2023"/>
        <v>1</v>
      </c>
      <c r="AK123" s="59">
        <f t="shared" si="2040"/>
        <v>68.236902902970996</v>
      </c>
      <c r="AL123" s="338"/>
      <c r="AM123" s="59"/>
      <c r="AN123" s="59"/>
      <c r="AO123" s="62"/>
      <c r="AP123" s="62"/>
      <c r="AQ123" s="59"/>
      <c r="AR123" s="59"/>
      <c r="AS123" s="59"/>
      <c r="AT123" s="189">
        <f>VLOOKUP(B:B,综合进度!B:N,13,0)</f>
        <v>4.1366160934983298e-003</v>
      </c>
      <c r="AU123" s="59">
        <f t="shared" si="2041"/>
        <v>24.712061810237099</v>
      </c>
      <c r="AV123" s="59"/>
      <c r="AW123" s="59"/>
      <c r="AX123" s="59">
        <f t="shared" si="2042"/>
        <v>659</v>
      </c>
      <c r="AY123" s="59">
        <v>653</v>
      </c>
      <c r="AZ123" s="59">
        <f t="shared" si="2043"/>
        <v>611.17108238178105</v>
      </c>
      <c r="BA123" s="59">
        <f t="shared" si="2044"/>
        <v>47.828917618219101</v>
      </c>
      <c r="BB123" s="43">
        <f t="shared" si="1978"/>
        <v>7.8257821740888106e-002</v>
      </c>
      <c r="BC123" s="50">
        <v>1200</v>
      </c>
      <c r="BD123" s="50">
        <f t="shared" si="2045"/>
        <v>1247.82891761822</v>
      </c>
      <c r="BG123" s="340"/>
    </row>
    <row r="124" s="5" customFormat="1" ht="17" customHeight="1">
      <c r="A124" s="46">
        <v>80</v>
      </c>
      <c r="B124" s="82" t="s">
        <v>168</v>
      </c>
      <c r="C124" s="46" t="s">
        <v>90</v>
      </c>
      <c r="D124" s="46">
        <v>2017</v>
      </c>
      <c r="E124" s="46"/>
      <c r="F124" s="46"/>
      <c r="G124" s="73">
        <v>10255</v>
      </c>
      <c r="H124" s="59">
        <f t="shared" si="2028"/>
        <v>7178.5</v>
      </c>
      <c r="I124" s="59">
        <f t="shared" si="2017"/>
        <v>0</v>
      </c>
      <c r="J124" s="59">
        <f t="shared" si="2018"/>
        <v>7178.5</v>
      </c>
      <c r="K124" s="59">
        <f t="shared" si="2019"/>
        <v>0</v>
      </c>
      <c r="L124" s="59">
        <f t="shared" si="2020"/>
        <v>0</v>
      </c>
      <c r="M124" s="59">
        <f t="shared" si="2021"/>
        <v>0</v>
      </c>
      <c r="N124" s="59">
        <v>2817</v>
      </c>
      <c r="O124" s="59">
        <v>2106</v>
      </c>
      <c r="P124" s="59">
        <f t="shared" si="2033"/>
        <v>544.79999999999995</v>
      </c>
      <c r="Q124" s="59">
        <v>908</v>
      </c>
      <c r="R124" s="59"/>
      <c r="S124" s="59"/>
      <c r="T124" s="59"/>
      <c r="U124" s="59">
        <v>140</v>
      </c>
      <c r="V124" s="59">
        <f t="shared" si="2034"/>
        <v>205.38726430108699</v>
      </c>
      <c r="W124" s="59">
        <v>14118.75</v>
      </c>
      <c r="X124" s="62">
        <f t="shared" si="2035"/>
        <v>0.24847265298482199</v>
      </c>
      <c r="Y124" s="62">
        <f t="shared" si="2036"/>
        <v>0.32480345198175897</v>
      </c>
      <c r="Z124" s="62">
        <f t="shared" si="2046"/>
        <v>0.16240172599088001</v>
      </c>
      <c r="AA124" s="59">
        <f t="shared" si="2037"/>
        <v>12.865618195902</v>
      </c>
      <c r="AB124" s="59">
        <v>1395.72</v>
      </c>
      <c r="AC124" s="59">
        <f t="shared" si="2038"/>
        <v>17.608847266309599</v>
      </c>
      <c r="AD124" s="59"/>
      <c r="AE124" s="59"/>
      <c r="AF124" s="59">
        <v>58</v>
      </c>
      <c r="AG124" s="59">
        <f t="shared" si="2022"/>
        <v>58</v>
      </c>
      <c r="AH124" s="59">
        <f t="shared" si="2039"/>
        <v>97.782091152814999</v>
      </c>
      <c r="AI124" s="59">
        <v>1</v>
      </c>
      <c r="AJ124" s="59">
        <f t="shared" si="2023"/>
        <v>1</v>
      </c>
      <c r="AK124" s="59">
        <f t="shared" si="2040"/>
        <v>68.236902902970996</v>
      </c>
      <c r="AL124" s="338"/>
      <c r="AM124" s="59"/>
      <c r="AN124" s="59"/>
      <c r="AO124" s="62"/>
      <c r="AP124" s="62"/>
      <c r="AQ124" s="59"/>
      <c r="AR124" s="59"/>
      <c r="AS124" s="59"/>
      <c r="AT124" s="189">
        <f>VLOOKUP(B:B,综合进度!B:N,13,0)</f>
        <v>3.6683670402278701e-003</v>
      </c>
      <c r="AU124" s="59">
        <f t="shared" si="2041"/>
        <v>21.914751330980501</v>
      </c>
      <c r="AV124" s="59"/>
      <c r="AW124" s="59"/>
      <c r="AX124" s="59">
        <f t="shared" si="2042"/>
        <v>424</v>
      </c>
      <c r="AY124" s="59">
        <v>283</v>
      </c>
      <c r="AZ124" s="59">
        <f t="shared" si="2043"/>
        <v>264.87200048092501</v>
      </c>
      <c r="BA124" s="59">
        <f t="shared" si="2044"/>
        <v>159.12799951907499</v>
      </c>
      <c r="BB124" s="43">
        <f t="shared" si="1978"/>
        <v>0.60077320075413099</v>
      </c>
      <c r="BC124" s="50">
        <v>1307</v>
      </c>
      <c r="BD124" s="50">
        <f t="shared" si="2045"/>
        <v>1466.12799951908</v>
      </c>
      <c r="BG124" s="340"/>
    </row>
    <row r="125" s="5" customFormat="1" ht="17" customHeight="1">
      <c r="A125" s="46">
        <v>81</v>
      </c>
      <c r="B125" s="82" t="s">
        <v>169</v>
      </c>
      <c r="C125" s="46" t="s">
        <v>90</v>
      </c>
      <c r="D125" s="46">
        <v>2018</v>
      </c>
      <c r="E125" s="46"/>
      <c r="F125" s="46"/>
      <c r="G125" s="73">
        <v>25551</v>
      </c>
      <c r="H125" s="59">
        <f t="shared" si="2028"/>
        <v>20440.799999999999</v>
      </c>
      <c r="I125" s="59">
        <f t="shared" si="2017"/>
        <v>0</v>
      </c>
      <c r="J125" s="59">
        <f t="shared" si="2018"/>
        <v>0</v>
      </c>
      <c r="K125" s="59">
        <f t="shared" si="2019"/>
        <v>20440.799999999999</v>
      </c>
      <c r="L125" s="59">
        <f t="shared" si="2020"/>
        <v>0</v>
      </c>
      <c r="M125" s="59">
        <f t="shared" si="2021"/>
        <v>0</v>
      </c>
      <c r="N125" s="59">
        <v>4414</v>
      </c>
      <c r="O125" s="59">
        <v>5198</v>
      </c>
      <c r="P125" s="59">
        <f t="shared" si="2033"/>
        <v>0</v>
      </c>
      <c r="Q125" s="59"/>
      <c r="R125" s="59"/>
      <c r="S125" s="59"/>
      <c r="T125" s="59"/>
      <c r="U125" s="59">
        <v>840</v>
      </c>
      <c r="V125" s="59">
        <f t="shared" si="2034"/>
        <v>391.21995792529702</v>
      </c>
      <c r="W125" s="59">
        <v>12691.84</v>
      </c>
      <c r="X125" s="62">
        <f t="shared" si="2035"/>
        <v>0.47873009930579502</v>
      </c>
      <c r="Y125" s="62">
        <f t="shared" si="2036"/>
        <v>1.4345147425698199</v>
      </c>
      <c r="Z125" s="62">
        <f t="shared" si="2046"/>
        <v>0.71725737128490796</v>
      </c>
      <c r="AA125" s="59">
        <f t="shared" si="2037"/>
        <v>56.821806731698103</v>
      </c>
      <c r="AB125" s="59">
        <v>2153.3499999999999</v>
      </c>
      <c r="AC125" s="59">
        <f t="shared" si="2038"/>
        <v>27.167348222356701</v>
      </c>
      <c r="AD125" s="59"/>
      <c r="AE125" s="59"/>
      <c r="AF125" s="59">
        <v>45</v>
      </c>
      <c r="AG125" s="59">
        <f t="shared" si="2022"/>
        <v>45</v>
      </c>
      <c r="AH125" s="59">
        <f t="shared" si="2039"/>
        <v>75.865415549597898</v>
      </c>
      <c r="AI125" s="59">
        <v>1</v>
      </c>
      <c r="AJ125" s="59">
        <f t="shared" si="2023"/>
        <v>1</v>
      </c>
      <c r="AK125" s="59">
        <f t="shared" si="2040"/>
        <v>68.236902902970996</v>
      </c>
      <c r="AL125" s="338"/>
      <c r="AM125" s="59"/>
      <c r="AN125" s="59"/>
      <c r="AO125" s="62"/>
      <c r="AP125" s="62"/>
      <c r="AQ125" s="59"/>
      <c r="AR125" s="59"/>
      <c r="AS125" s="59"/>
      <c r="AT125" s="189">
        <f>VLOOKUP(B:B,综合进度!B:N,13,0)</f>
        <v>3.8216120097554901e-003</v>
      </c>
      <c r="AU125" s="59">
        <f t="shared" si="2041"/>
        <v>22.8302337140391</v>
      </c>
      <c r="AV125" s="59"/>
      <c r="AW125" s="59"/>
      <c r="AX125" s="59">
        <f t="shared" si="2042"/>
        <v>642</v>
      </c>
      <c r="AY125" s="59">
        <v>655</v>
      </c>
      <c r="AZ125" s="59">
        <f t="shared" si="2043"/>
        <v>613.04296931097497</v>
      </c>
      <c r="BA125" s="59">
        <f t="shared" si="2044"/>
        <v>28.957030689025299</v>
      </c>
      <c r="BB125" s="43">
        <f t="shared" si="1978"/>
        <v>4.7234911969663902e-002</v>
      </c>
      <c r="BC125" s="50">
        <v>2184</v>
      </c>
      <c r="BD125" s="50">
        <f t="shared" si="2045"/>
        <v>2212.95703068903</v>
      </c>
      <c r="BG125" s="340"/>
    </row>
    <row r="126" s="5" customFormat="1" ht="17" customHeight="1">
      <c r="A126" s="46">
        <v>82</v>
      </c>
      <c r="B126" s="82" t="s">
        <v>170</v>
      </c>
      <c r="C126" s="46" t="s">
        <v>90</v>
      </c>
      <c r="D126" s="46">
        <v>2017</v>
      </c>
      <c r="E126" s="46"/>
      <c r="F126" s="46"/>
      <c r="G126" s="73">
        <v>22690</v>
      </c>
      <c r="H126" s="59">
        <f t="shared" si="2028"/>
        <v>15883</v>
      </c>
      <c r="I126" s="59">
        <f t="shared" si="2017"/>
        <v>0</v>
      </c>
      <c r="J126" s="59">
        <f t="shared" si="2018"/>
        <v>15883</v>
      </c>
      <c r="K126" s="59">
        <f t="shared" si="2019"/>
        <v>0</v>
      </c>
      <c r="L126" s="59">
        <f t="shared" si="2020"/>
        <v>0</v>
      </c>
      <c r="M126" s="59">
        <f t="shared" si="2021"/>
        <v>0</v>
      </c>
      <c r="N126" s="59">
        <v>2371</v>
      </c>
      <c r="O126" s="59">
        <v>2771</v>
      </c>
      <c r="P126" s="59">
        <f t="shared" si="2033"/>
        <v>0</v>
      </c>
      <c r="Q126" s="59"/>
      <c r="R126" s="59"/>
      <c r="S126" s="59"/>
      <c r="T126" s="59"/>
      <c r="U126" s="59">
        <v>676</v>
      </c>
      <c r="V126" s="59">
        <f t="shared" si="2034"/>
        <v>252.27298641473899</v>
      </c>
      <c r="W126" s="59">
        <v>12165.290000000001</v>
      </c>
      <c r="X126" s="62">
        <f t="shared" si="2035"/>
        <v>0.56369835824315595</v>
      </c>
      <c r="Y126" s="62">
        <f t="shared" si="2036"/>
        <v>1.4126844555931699</v>
      </c>
      <c r="Z126" s="62">
        <f t="shared" si="2046"/>
        <v>0.70634222779658595</v>
      </c>
      <c r="AA126" s="59">
        <f t="shared" si="2037"/>
        <v>55.957098750194703</v>
      </c>
      <c r="AB126" s="59">
        <v>485.5</v>
      </c>
      <c r="AC126" s="59">
        <f t="shared" si="2038"/>
        <v>6.12522235677163</v>
      </c>
      <c r="AD126" s="59"/>
      <c r="AE126" s="59"/>
      <c r="AF126" s="59">
        <v>39</v>
      </c>
      <c r="AG126" s="59">
        <f t="shared" si="2022"/>
        <v>39</v>
      </c>
      <c r="AH126" s="59">
        <f t="shared" si="2039"/>
        <v>65.750026809651501</v>
      </c>
      <c r="AI126" s="59">
        <v>1</v>
      </c>
      <c r="AJ126" s="59">
        <f t="shared" si="2023"/>
        <v>1</v>
      </c>
      <c r="AK126" s="59">
        <f t="shared" si="2040"/>
        <v>68.236902902970996</v>
      </c>
      <c r="AL126" s="338"/>
      <c r="AM126" s="59"/>
      <c r="AN126" s="59"/>
      <c r="AO126" s="62"/>
      <c r="AP126" s="62"/>
      <c r="AQ126" s="59"/>
      <c r="AR126" s="59"/>
      <c r="AS126" s="59"/>
      <c r="AT126" s="189">
        <f>VLOOKUP(B:B,综合进度!B:N,13,0)</f>
        <v>3.3217121160100901e-003</v>
      </c>
      <c r="AU126" s="59">
        <f t="shared" si="2041"/>
        <v>19.843841746801999</v>
      </c>
      <c r="AV126" s="59"/>
      <c r="AW126" s="59"/>
      <c r="AX126" s="59">
        <f t="shared" si="2042"/>
        <v>468</v>
      </c>
      <c r="AY126" s="59">
        <v>332</v>
      </c>
      <c r="AZ126" s="59">
        <f t="shared" si="2043"/>
        <v>310.73323024617298</v>
      </c>
      <c r="BA126" s="59">
        <f t="shared" si="2044"/>
        <v>157.26676975382699</v>
      </c>
      <c r="BB126" s="43">
        <f t="shared" si="1978"/>
        <v>0.50611506734968303</v>
      </c>
      <c r="BC126" s="50">
        <v>2513</v>
      </c>
      <c r="BD126" s="50">
        <f t="shared" si="2045"/>
        <v>2670.26676975383</v>
      </c>
      <c r="BG126" s="340"/>
    </row>
    <row r="127" s="5" customFormat="1" ht="17" customHeight="1">
      <c r="A127" s="46">
        <v>83</v>
      </c>
      <c r="B127" s="82" t="s">
        <v>171</v>
      </c>
      <c r="C127" s="46" t="s">
        <v>90</v>
      </c>
      <c r="D127" s="46">
        <v>2018</v>
      </c>
      <c r="E127" s="46"/>
      <c r="F127" s="46"/>
      <c r="G127" s="73">
        <v>36343</v>
      </c>
      <c r="H127" s="59">
        <f t="shared" si="2028"/>
        <v>29074.400000000001</v>
      </c>
      <c r="I127" s="59">
        <f t="shared" si="2017"/>
        <v>0</v>
      </c>
      <c r="J127" s="59">
        <f t="shared" si="2018"/>
        <v>0</v>
      </c>
      <c r="K127" s="59">
        <f t="shared" si="2019"/>
        <v>29074.400000000001</v>
      </c>
      <c r="L127" s="59">
        <f t="shared" si="2020"/>
        <v>0</v>
      </c>
      <c r="M127" s="59">
        <f t="shared" si="2021"/>
        <v>0</v>
      </c>
      <c r="N127" s="59">
        <v>4585</v>
      </c>
      <c r="O127" s="59">
        <v>9495</v>
      </c>
      <c r="P127" s="59">
        <f t="shared" si="2033"/>
        <v>706.79999999999995</v>
      </c>
      <c r="Q127" s="59">
        <v>1178</v>
      </c>
      <c r="R127" s="59"/>
      <c r="S127" s="59"/>
      <c r="T127" s="59"/>
      <c r="U127" s="59">
        <v>838</v>
      </c>
      <c r="V127" s="59">
        <f t="shared" si="2034"/>
        <v>470.08715455318202</v>
      </c>
      <c r="W127" s="59">
        <v>12056.379999999999</v>
      </c>
      <c r="X127" s="62">
        <f t="shared" si="2035"/>
        <v>0.58127293441040995</v>
      </c>
      <c r="Y127" s="62">
        <f t="shared" si="2036"/>
        <v>2.3790338659549302</v>
      </c>
      <c r="Z127" s="62">
        <f t="shared" si="2046"/>
        <v>1.18951693297746</v>
      </c>
      <c r="AA127" s="59">
        <f t="shared" si="2037"/>
        <v>94.234655474707594</v>
      </c>
      <c r="AB127" s="59">
        <v>6605.8000000000002</v>
      </c>
      <c r="AC127" s="59">
        <f t="shared" si="2038"/>
        <v>83.340873005895006</v>
      </c>
      <c r="AD127" s="59"/>
      <c r="AE127" s="59"/>
      <c r="AF127" s="59">
        <v>55</v>
      </c>
      <c r="AG127" s="59">
        <f t="shared" si="2022"/>
        <v>55</v>
      </c>
      <c r="AH127" s="59">
        <f t="shared" si="2039"/>
        <v>92.724396782841794</v>
      </c>
      <c r="AI127" s="59">
        <v>1</v>
      </c>
      <c r="AJ127" s="59">
        <f t="shared" si="2023"/>
        <v>1</v>
      </c>
      <c r="AK127" s="59">
        <f t="shared" si="2040"/>
        <v>68.236902902970996</v>
      </c>
      <c r="AL127" s="338"/>
      <c r="AM127" s="59"/>
      <c r="AN127" s="59"/>
      <c r="AO127" s="62"/>
      <c r="AP127" s="62"/>
      <c r="AQ127" s="59"/>
      <c r="AR127" s="59"/>
      <c r="AS127" s="59"/>
      <c r="AT127" s="189">
        <f>VLOOKUP(B:B,综合进度!B:N,13,0)</f>
        <v>4.3751514646046602e-003</v>
      </c>
      <c r="AU127" s="59">
        <f t="shared" si="2041"/>
        <v>26.137067346518901</v>
      </c>
      <c r="AV127" s="59"/>
      <c r="AW127" s="59"/>
      <c r="AX127" s="59">
        <f t="shared" si="2042"/>
        <v>835</v>
      </c>
      <c r="AY127" s="59">
        <v>851</v>
      </c>
      <c r="AZ127" s="59">
        <f t="shared" si="2043"/>
        <v>796.48788837196901</v>
      </c>
      <c r="BA127" s="59">
        <f t="shared" si="2044"/>
        <v>38.512111628031199</v>
      </c>
      <c r="BB127" s="43">
        <f t="shared" si="1978"/>
        <v>4.8352413376618303e-002</v>
      </c>
      <c r="BC127" s="50">
        <v>721</v>
      </c>
      <c r="BD127" s="50">
        <f t="shared" si="2045"/>
        <v>759.51211162803099</v>
      </c>
      <c r="BG127" s="340"/>
    </row>
    <row r="128" s="5" customFormat="1" ht="17" customHeight="1">
      <c r="A128" s="46">
        <v>84</v>
      </c>
      <c r="B128" s="82" t="s">
        <v>172</v>
      </c>
      <c r="C128" s="46" t="s">
        <v>90</v>
      </c>
      <c r="D128" s="46">
        <v>2018</v>
      </c>
      <c r="E128" s="46"/>
      <c r="F128" s="46"/>
      <c r="G128" s="73">
        <v>20962</v>
      </c>
      <c r="H128" s="59">
        <f t="shared" si="2028"/>
        <v>16769.599999999999</v>
      </c>
      <c r="I128" s="59">
        <f t="shared" si="2017"/>
        <v>0</v>
      </c>
      <c r="J128" s="59">
        <f t="shared" si="2018"/>
        <v>0</v>
      </c>
      <c r="K128" s="59">
        <f t="shared" si="2019"/>
        <v>16769.599999999999</v>
      </c>
      <c r="L128" s="59">
        <f t="shared" si="2020"/>
        <v>0</v>
      </c>
      <c r="M128" s="59">
        <f t="shared" si="2021"/>
        <v>0</v>
      </c>
      <c r="N128" s="59">
        <v>3233</v>
      </c>
      <c r="O128" s="59">
        <v>2322</v>
      </c>
      <c r="P128" s="59">
        <f t="shared" si="2033"/>
        <v>0</v>
      </c>
      <c r="Q128" s="59"/>
      <c r="R128" s="59"/>
      <c r="S128" s="59"/>
      <c r="T128" s="59"/>
      <c r="U128" s="59">
        <v>528</v>
      </c>
      <c r="V128" s="59">
        <f t="shared" si="2034"/>
        <v>293.401678742846</v>
      </c>
      <c r="W128" s="59">
        <v>12154.459999999999</v>
      </c>
      <c r="X128" s="62">
        <f t="shared" si="2035"/>
        <v>0.56544597241900196</v>
      </c>
      <c r="Y128" s="62">
        <f t="shared" si="2036"/>
        <v>1.3680965302677699</v>
      </c>
      <c r="Z128" s="62">
        <f t="shared" si="2046"/>
        <v>0.68404826513388695</v>
      </c>
      <c r="AA128" s="59">
        <f t="shared" si="2037"/>
        <v>54.190949961184401</v>
      </c>
      <c r="AB128" s="59">
        <v>2317.4000000000001</v>
      </c>
      <c r="AC128" s="59">
        <f t="shared" si="2038"/>
        <v>29.237055179366799</v>
      </c>
      <c r="AD128" s="59"/>
      <c r="AE128" s="59"/>
      <c r="AF128" s="59">
        <v>14</v>
      </c>
      <c r="AG128" s="59">
        <f t="shared" si="2022"/>
        <v>14</v>
      </c>
      <c r="AH128" s="59">
        <f t="shared" si="2039"/>
        <v>23.6025737265416</v>
      </c>
      <c r="AI128" s="59">
        <v>1</v>
      </c>
      <c r="AJ128" s="59">
        <f t="shared" si="2023"/>
        <v>1</v>
      </c>
      <c r="AK128" s="59">
        <f t="shared" si="2040"/>
        <v>68.236902902970996</v>
      </c>
      <c r="AL128" s="338"/>
      <c r="AM128" s="59"/>
      <c r="AN128" s="59"/>
      <c r="AO128" s="62"/>
      <c r="AP128" s="62"/>
      <c r="AQ128" s="59"/>
      <c r="AR128" s="59"/>
      <c r="AS128" s="59"/>
      <c r="AT128" s="189">
        <f>VLOOKUP(B:B,综合进度!B:N,13,0)</f>
        <v>4.0137837709387303e-003</v>
      </c>
      <c r="AU128" s="59">
        <f t="shared" si="2041"/>
        <v>23.978263971912501</v>
      </c>
      <c r="AV128" s="59"/>
      <c r="AW128" s="59"/>
      <c r="AX128" s="59">
        <f t="shared" si="2042"/>
        <v>493</v>
      </c>
      <c r="AY128" s="59">
        <v>580</v>
      </c>
      <c r="AZ128" s="59">
        <f t="shared" si="2043"/>
        <v>542.847209466207</v>
      </c>
      <c r="BA128" s="59">
        <f t="shared" si="2044"/>
        <v>-49.847209466206699</v>
      </c>
      <c r="BB128" s="43">
        <f t="shared" si="1978"/>
        <v>-9.1825487166494801e-002</v>
      </c>
      <c r="BC128" s="50">
        <v>868</v>
      </c>
      <c r="BD128" s="50">
        <f t="shared" si="2045"/>
        <v>818.152790533793</v>
      </c>
      <c r="BG128" s="340"/>
    </row>
    <row r="129" s="5" customFormat="1" ht="17" customHeight="1">
      <c r="A129" s="46">
        <v>85</v>
      </c>
      <c r="B129" s="82" t="s">
        <v>173</v>
      </c>
      <c r="C129" s="46" t="s">
        <v>78</v>
      </c>
      <c r="D129" s="46"/>
      <c r="E129" s="46"/>
      <c r="F129" s="46"/>
      <c r="G129" s="73">
        <v>18733</v>
      </c>
      <c r="H129" s="59">
        <f t="shared" si="2028"/>
        <v>11239.799999999999</v>
      </c>
      <c r="I129" s="59">
        <f t="shared" si="2017"/>
        <v>11239.799999999999</v>
      </c>
      <c r="J129" s="59">
        <f t="shared" si="2018"/>
        <v>0</v>
      </c>
      <c r="K129" s="59">
        <f t="shared" si="2019"/>
        <v>0</v>
      </c>
      <c r="L129" s="59">
        <f t="shared" si="2020"/>
        <v>0</v>
      </c>
      <c r="M129" s="59">
        <f t="shared" si="2021"/>
        <v>0</v>
      </c>
      <c r="N129" s="59">
        <v>2963</v>
      </c>
      <c r="O129" s="59">
        <v>3836</v>
      </c>
      <c r="P129" s="59">
        <f t="shared" si="2033"/>
        <v>1265.4000000000001</v>
      </c>
      <c r="Q129" s="59">
        <v>2109</v>
      </c>
      <c r="R129" s="59"/>
      <c r="S129" s="59"/>
      <c r="T129" s="59"/>
      <c r="U129" s="59">
        <v>558</v>
      </c>
      <c r="V129" s="59">
        <f t="shared" si="2034"/>
        <v>275.91991042348599</v>
      </c>
      <c r="W129" s="59">
        <v>12804.200000000001</v>
      </c>
      <c r="X129" s="62">
        <f t="shared" si="2035"/>
        <v>0.46059880394124902</v>
      </c>
      <c r="Y129" s="62">
        <f t="shared" si="2036"/>
        <v>0.99931516503093398</v>
      </c>
      <c r="Z129" s="62">
        <f>Y129*0.2</f>
        <v>0.19986303300618699</v>
      </c>
      <c r="AA129" s="59">
        <f t="shared" si="2037"/>
        <v>15.833338337038199</v>
      </c>
      <c r="AB129" s="59">
        <v>2019.8</v>
      </c>
      <c r="AC129" s="59">
        <f t="shared" si="2038"/>
        <v>25.482438962322</v>
      </c>
      <c r="AD129" s="59"/>
      <c r="AE129" s="59"/>
      <c r="AF129" s="59">
        <v>165</v>
      </c>
      <c r="AG129" s="59">
        <f>AF129*0.5</f>
        <v>82.5</v>
      </c>
      <c r="AH129" s="59">
        <f t="shared" si="2039"/>
        <v>139.08659517426301</v>
      </c>
      <c r="AI129" s="59">
        <v>1</v>
      </c>
      <c r="AJ129" s="59">
        <f>AI129*0.5</f>
        <v>0.5</v>
      </c>
      <c r="AK129" s="59">
        <f t="shared" si="2040"/>
        <v>34.118451451485498</v>
      </c>
      <c r="AL129" s="338"/>
      <c r="AM129" s="59"/>
      <c r="AN129" s="59"/>
      <c r="AO129" s="62"/>
      <c r="AP129" s="62"/>
      <c r="AQ129" s="59"/>
      <c r="AR129" s="59"/>
      <c r="AS129" s="59"/>
      <c r="AT129" s="189">
        <f>VLOOKUP(B:B,综合进度!B:N,13,0)</f>
        <v>3.63405193279767e-003</v>
      </c>
      <c r="AU129" s="59">
        <f t="shared" si="2041"/>
        <v>21.709753565494601</v>
      </c>
      <c r="AV129" s="59"/>
      <c r="AW129" s="59"/>
      <c r="AX129" s="59">
        <f t="shared" si="2042"/>
        <v>512</v>
      </c>
      <c r="AY129" s="59">
        <v>334</v>
      </c>
      <c r="AZ129" s="59">
        <f t="shared" si="2043"/>
        <v>312.60511717536701</v>
      </c>
      <c r="BA129" s="59">
        <f t="shared" si="2044"/>
        <v>199.39488282463299</v>
      </c>
      <c r="BB129" s="43">
        <f t="shared" si="1978"/>
        <v>0.63784906858314405</v>
      </c>
      <c r="BC129" s="50">
        <v>1657</v>
      </c>
      <c r="BD129" s="50">
        <f t="shared" si="2045"/>
        <v>1856.39488282463</v>
      </c>
      <c r="BG129" s="340"/>
    </row>
    <row r="130" ht="17" customHeight="1">
      <c r="A130" s="46">
        <v>86</v>
      </c>
      <c r="B130" s="82" t="s">
        <v>174</v>
      </c>
      <c r="C130" s="46" t="s">
        <v>93</v>
      </c>
      <c r="D130" s="46">
        <v>2019</v>
      </c>
      <c r="E130" s="46" t="s">
        <v>94</v>
      </c>
      <c r="F130" s="46"/>
      <c r="G130" s="73">
        <v>95507</v>
      </c>
      <c r="H130" s="59">
        <f t="shared" si="2028"/>
        <v>85956.300000000003</v>
      </c>
      <c r="I130" s="59">
        <f t="shared" si="2017"/>
        <v>0</v>
      </c>
      <c r="J130" s="59">
        <f t="shared" si="2018"/>
        <v>0</v>
      </c>
      <c r="K130" s="59">
        <f t="shared" si="2019"/>
        <v>0</v>
      </c>
      <c r="L130" s="59">
        <f t="shared" si="2020"/>
        <v>85956.300000000003</v>
      </c>
      <c r="M130" s="59">
        <f t="shared" si="2021"/>
        <v>0</v>
      </c>
      <c r="N130" s="59">
        <v>11154</v>
      </c>
      <c r="O130" s="59">
        <v>9638</v>
      </c>
      <c r="P130" s="59">
        <f t="shared" si="2033"/>
        <v>1128.5999999999999</v>
      </c>
      <c r="Q130" s="59">
        <v>1881</v>
      </c>
      <c r="R130" s="59"/>
      <c r="S130" s="59"/>
      <c r="T130" s="59"/>
      <c r="U130" s="59">
        <v>19</v>
      </c>
      <c r="V130" s="59">
        <f t="shared" si="2034"/>
        <v>1123.18546981635</v>
      </c>
      <c r="W130" s="59">
        <v>12053.959999999999</v>
      </c>
      <c r="X130" s="62">
        <f t="shared" si="2035"/>
        <v>0.58166344468793096</v>
      </c>
      <c r="Y130" s="62">
        <f t="shared" si="2036"/>
        <v>6.20408046738594</v>
      </c>
      <c r="Z130" s="62">
        <f>Y130*1</f>
        <v>6.20408046738594</v>
      </c>
      <c r="AA130" s="59">
        <f t="shared" si="2037"/>
        <v>491.493117225388</v>
      </c>
      <c r="AB130" s="59">
        <v>15445.092000000001</v>
      </c>
      <c r="AC130" s="59">
        <f t="shared" si="2038"/>
        <v>194.86019118598301</v>
      </c>
      <c r="AD130" s="59"/>
      <c r="AE130" s="59"/>
      <c r="AF130" s="59">
        <v>40</v>
      </c>
      <c r="AG130" s="59">
        <f t="shared" si="2022"/>
        <v>40</v>
      </c>
      <c r="AH130" s="59">
        <f t="shared" si="2039"/>
        <v>67.435924932975894</v>
      </c>
      <c r="AI130" s="59">
        <v>1</v>
      </c>
      <c r="AJ130" s="59">
        <f t="shared" si="2023"/>
        <v>1</v>
      </c>
      <c r="AK130" s="59">
        <f t="shared" si="2040"/>
        <v>68.236902902970996</v>
      </c>
      <c r="AL130" s="338"/>
      <c r="AM130" s="59"/>
      <c r="AN130" s="59">
        <v>1000</v>
      </c>
      <c r="AO130" s="62"/>
      <c r="AP130" s="62"/>
      <c r="AQ130" s="59"/>
      <c r="AR130" s="59"/>
      <c r="AS130" s="59"/>
      <c r="AT130" s="189">
        <f>VLOOKUP(B:B,综合进度!B:N,13,0)</f>
        <v>1.04092528853281e-002</v>
      </c>
      <c r="AU130" s="59">
        <f t="shared" si="2041"/>
        <v>62.184668551892401</v>
      </c>
      <c r="AV130" s="59"/>
      <c r="AW130" s="59"/>
      <c r="AX130" s="59">
        <f t="shared" si="2042"/>
        <v>3007</v>
      </c>
      <c r="AY130" s="59">
        <v>4260</v>
      </c>
      <c r="AZ130" s="59">
        <f t="shared" si="2043"/>
        <v>3987.1191591828301</v>
      </c>
      <c r="BA130" s="59">
        <f t="shared" si="2044"/>
        <v>-980.11915918282796</v>
      </c>
      <c r="BB130" s="43">
        <f t="shared" si="1978"/>
        <v>-0.24582138633240799</v>
      </c>
      <c r="BC130" s="50">
        <v>-217</v>
      </c>
      <c r="BD130" s="50">
        <f t="shared" si="2045"/>
        <v>-1197.1191591828299</v>
      </c>
      <c r="BF130" s="341"/>
      <c r="BG130" s="339"/>
    </row>
    <row r="131" ht="17" customHeight="1">
      <c r="A131" s="46">
        <v>87</v>
      </c>
      <c r="B131" s="82" t="s">
        <v>175</v>
      </c>
      <c r="C131" s="46" t="s">
        <v>78</v>
      </c>
      <c r="D131" s="46"/>
      <c r="E131" s="46"/>
      <c r="F131" s="46"/>
      <c r="G131" s="73">
        <v>24287</v>
      </c>
      <c r="H131" s="59">
        <f t="shared" si="2028"/>
        <v>14572.200000000001</v>
      </c>
      <c r="I131" s="59">
        <f t="shared" si="2017"/>
        <v>14572.200000000001</v>
      </c>
      <c r="J131" s="59">
        <f t="shared" si="2018"/>
        <v>0</v>
      </c>
      <c r="K131" s="59">
        <f t="shared" si="2019"/>
        <v>0</v>
      </c>
      <c r="L131" s="59">
        <f t="shared" si="2020"/>
        <v>0</v>
      </c>
      <c r="M131" s="59">
        <f t="shared" si="2021"/>
        <v>0</v>
      </c>
      <c r="N131" s="59">
        <v>3289</v>
      </c>
      <c r="O131" s="59">
        <v>4811</v>
      </c>
      <c r="P131" s="59">
        <f t="shared" si="2033"/>
        <v>834</v>
      </c>
      <c r="Q131" s="59">
        <v>1390</v>
      </c>
      <c r="R131" s="59"/>
      <c r="S131" s="59"/>
      <c r="T131" s="59"/>
      <c r="U131" s="59">
        <v>722</v>
      </c>
      <c r="V131" s="59">
        <f t="shared" si="2034"/>
        <v>311.46406835224502</v>
      </c>
      <c r="W131" s="59">
        <v>13995.15</v>
      </c>
      <c r="X131" s="62">
        <f t="shared" si="2035"/>
        <v>0.26841772335735598</v>
      </c>
      <c r="Y131" s="62">
        <f t="shared" si="2036"/>
        <v>0.74018871393024399</v>
      </c>
      <c r="Z131" s="62">
        <f>Y131*0.2</f>
        <v>0.148037742786049</v>
      </c>
      <c r="AA131" s="59">
        <f t="shared" si="2037"/>
        <v>11.727689873046099</v>
      </c>
      <c r="AB131" s="59">
        <v>1155.4200000000001</v>
      </c>
      <c r="AC131" s="59">
        <f t="shared" si="2038"/>
        <v>14.577146066861101</v>
      </c>
      <c r="AD131" s="59"/>
      <c r="AE131" s="59"/>
      <c r="AF131" s="59">
        <v>35</v>
      </c>
      <c r="AG131" s="59">
        <f>AF131*0.5</f>
        <v>17.5</v>
      </c>
      <c r="AH131" s="59">
        <f t="shared" si="2039"/>
        <v>29.503217158176898</v>
      </c>
      <c r="AI131" s="59">
        <v>1</v>
      </c>
      <c r="AJ131" s="59">
        <f>AI131*0.5</f>
        <v>0.5</v>
      </c>
      <c r="AK131" s="59">
        <f t="shared" si="2040"/>
        <v>34.118451451485498</v>
      </c>
      <c r="AL131" s="338"/>
      <c r="AM131" s="59"/>
      <c r="AN131" s="59"/>
      <c r="AO131" s="62"/>
      <c r="AP131" s="62"/>
      <c r="AQ131" s="59"/>
      <c r="AR131" s="59"/>
      <c r="AS131" s="59"/>
      <c r="AT131" s="189">
        <f>VLOOKUP(B:B,综合进度!B:N,13,0)</f>
        <v>3.5441757582153201e-003</v>
      </c>
      <c r="AU131" s="59">
        <f t="shared" si="2041"/>
        <v>21.1728350960631</v>
      </c>
      <c r="AV131" s="59"/>
      <c r="AW131" s="59"/>
      <c r="AX131" s="59">
        <f t="shared" si="2042"/>
        <v>423</v>
      </c>
      <c r="AY131" s="59">
        <v>392</v>
      </c>
      <c r="AZ131" s="59">
        <f t="shared" si="2043"/>
        <v>366.88983812198802</v>
      </c>
      <c r="BA131" s="59">
        <f t="shared" si="2044"/>
        <v>56.1101618780121</v>
      </c>
      <c r="BB131" s="43">
        <f t="shared" si="1978"/>
        <v>0.152934630637973</v>
      </c>
      <c r="BC131" s="50">
        <v>1164</v>
      </c>
      <c r="BD131" s="50">
        <f t="shared" si="2045"/>
        <v>1220.1101618780101</v>
      </c>
      <c r="BG131" s="340"/>
    </row>
    <row r="132" s="5" customFormat="1" ht="17" customHeight="1">
      <c r="A132" s="65"/>
      <c r="B132" s="66" t="s">
        <v>176</v>
      </c>
      <c r="C132" s="67">
        <v>1</v>
      </c>
      <c r="D132" s="67"/>
      <c r="E132" s="67"/>
      <c r="F132" s="68"/>
      <c r="G132" s="69">
        <f>G133+G134</f>
        <v>392543</v>
      </c>
      <c r="H132" s="69">
        <f>H133+H134</f>
        <v>309588.90000000002</v>
      </c>
      <c r="I132" s="69">
        <f t="shared" ref="I132:U132" si="2047">I133+I134</f>
        <v>8682.6000000000004</v>
      </c>
      <c r="J132" s="69">
        <f t="shared" si="2047"/>
        <v>106491</v>
      </c>
      <c r="K132" s="69">
        <f t="shared" si="2047"/>
        <v>71460</v>
      </c>
      <c r="L132" s="69">
        <f t="shared" si="2047"/>
        <v>122955.3</v>
      </c>
      <c r="M132" s="69">
        <f t="shared" si="2047"/>
        <v>0</v>
      </c>
      <c r="N132" s="69">
        <f t="shared" si="2047"/>
        <v>40540</v>
      </c>
      <c r="O132" s="69">
        <f t="shared" si="2047"/>
        <v>17911</v>
      </c>
      <c r="P132" s="69">
        <f t="shared" si="2047"/>
        <v>1028.4000000000001</v>
      </c>
      <c r="Q132" s="59">
        <v>1714</v>
      </c>
      <c r="R132" s="69">
        <f>R133+R134</f>
        <v>0</v>
      </c>
      <c r="S132" s="69">
        <f>S133+S134</f>
        <v>0</v>
      </c>
      <c r="T132" s="69">
        <f>T133+T134</f>
        <v>0</v>
      </c>
      <c r="U132" s="69">
        <f>U133+U134</f>
        <v>10066</v>
      </c>
      <c r="V132" s="69">
        <f>V133+V134</f>
        <v>4499.94786710076</v>
      </c>
      <c r="W132" s="69"/>
      <c r="X132" s="69">
        <f t="shared" ref="X132:AE132" si="2048">X133+X134</f>
        <v>8.5413731115923497</v>
      </c>
      <c r="Y132" s="69">
        <f t="shared" si="2048"/>
        <v>31.6214646802818</v>
      </c>
      <c r="Z132" s="69">
        <f t="shared" si="2048"/>
        <v>26.643910263884901</v>
      </c>
      <c r="AA132" s="69">
        <f t="shared" si="2048"/>
        <v>2110.7557484965901</v>
      </c>
      <c r="AB132" s="69">
        <f t="shared" si="2048"/>
        <v>111994.4295</v>
      </c>
      <c r="AC132" s="69">
        <f t="shared" si="2048"/>
        <v>1412.9573293661899</v>
      </c>
      <c r="AD132" s="69"/>
      <c r="AE132" s="69"/>
      <c r="AF132" s="69">
        <f t="shared" ref="AF132:AS132" si="2049">AF133+AF134</f>
        <v>218</v>
      </c>
      <c r="AG132" s="59">
        <f t="shared" si="2049"/>
        <v>214</v>
      </c>
      <c r="AH132" s="59">
        <f t="shared" si="2049"/>
        <v>360.78219839142099</v>
      </c>
      <c r="AI132" s="69">
        <f t="shared" si="2049"/>
        <v>5.8080299090563798</v>
      </c>
      <c r="AJ132" s="59">
        <f t="shared" si="2049"/>
        <v>5.5270947501826999</v>
      </c>
      <c r="AK132" s="59">
        <f t="shared" si="2049"/>
        <v>377.15182780373698</v>
      </c>
      <c r="AL132" s="69"/>
      <c r="AM132" s="69"/>
      <c r="AN132" s="69">
        <f t="shared" si="2049"/>
        <v>21000</v>
      </c>
      <c r="AO132" s="69"/>
      <c r="AP132" s="69"/>
      <c r="AQ132" s="69">
        <f t="shared" si="2049"/>
        <v>0</v>
      </c>
      <c r="AR132" s="69"/>
      <c r="AS132" s="69">
        <f t="shared" ref="AS132:AU132" si="2050">AS133+AS134</f>
        <v>0</v>
      </c>
      <c r="AT132" s="403">
        <f t="shared" si="2050"/>
        <v>5.8465802374910697e-002</v>
      </c>
      <c r="AU132" s="69">
        <f t="shared" si="2050"/>
        <v>349.27353407166902</v>
      </c>
      <c r="AV132" s="69"/>
      <c r="AW132" s="71"/>
      <c r="AX132" s="69">
        <f>AX133+AX134</f>
        <v>30111</v>
      </c>
      <c r="AY132" s="69">
        <v>13404</v>
      </c>
      <c r="AZ132" s="69">
        <f>AZ133+AZ134</f>
        <v>12545.386199457</v>
      </c>
      <c r="BA132" s="69">
        <f>BA133+BA134</f>
        <v>17565.613800543</v>
      </c>
      <c r="BB132" s="336">
        <f t="shared" si="1978"/>
        <v>1.4001652496998001</v>
      </c>
      <c r="BC132" s="404">
        <v>504</v>
      </c>
      <c r="BD132" s="69">
        <f>BD133+BD134</f>
        <v>18068.613800543</v>
      </c>
      <c r="BG132" s="340"/>
    </row>
    <row r="133" s="5" customFormat="1" ht="17" customHeight="1">
      <c r="A133" s="44"/>
      <c r="B133" s="72" t="s">
        <v>177</v>
      </c>
      <c r="C133" s="46">
        <v>2</v>
      </c>
      <c r="D133" s="46"/>
      <c r="E133" s="46"/>
      <c r="F133" s="46"/>
      <c r="G133" s="73"/>
      <c r="H133" s="59">
        <f t="shared" ref="H133:H146" si="2051">SUM(I133:M133)</f>
        <v>0</v>
      </c>
      <c r="I133" s="59">
        <f t="shared" si="2017"/>
        <v>0</v>
      </c>
      <c r="J133" s="59">
        <f t="shared" si="2018"/>
        <v>0</v>
      </c>
      <c r="K133" s="59">
        <f t="shared" si="2019"/>
        <v>0</v>
      </c>
      <c r="L133" s="59">
        <f t="shared" si="2020"/>
        <v>0</v>
      </c>
      <c r="M133" s="59">
        <f t="shared" si="2021"/>
        <v>0</v>
      </c>
      <c r="N133" s="59"/>
      <c r="O133" s="59"/>
      <c r="P133" s="59">
        <f>L133*0.4+M133*0.6+N133*0.8+O133*1</f>
        <v>0</v>
      </c>
      <c r="Q133" s="59"/>
      <c r="R133" s="59"/>
      <c r="S133" s="59"/>
      <c r="T133" s="59"/>
      <c r="U133" s="59"/>
      <c r="V133" s="59">
        <f>H133/$H$9*134866+N133/$N$9*202299+P133/$P$9*100000+U133/$U$9*34867</f>
        <v>0</v>
      </c>
      <c r="W133" s="59"/>
      <c r="X133" s="62"/>
      <c r="Y133" s="62"/>
      <c r="Z133" s="62"/>
      <c r="AA133" s="59"/>
      <c r="AB133" s="59"/>
      <c r="AC133" s="59"/>
      <c r="AD133" s="59"/>
      <c r="AE133" s="59"/>
      <c r="AF133" s="59"/>
      <c r="AG133" s="59">
        <f t="shared" si="2022"/>
        <v>0</v>
      </c>
      <c r="AH133" s="59">
        <f>AG133/$AG$9*40459.89</f>
        <v>0</v>
      </c>
      <c r="AI133" s="59"/>
      <c r="AJ133" s="59">
        <f t="shared" si="2023"/>
        <v>0</v>
      </c>
      <c r="AK133" s="59">
        <f>AJ133/$AJ$9*40459.89</f>
        <v>0</v>
      </c>
      <c r="AL133" s="59"/>
      <c r="AM133" s="59"/>
      <c r="AN133" s="59"/>
      <c r="AO133" s="62"/>
      <c r="AP133" s="59"/>
      <c r="AQ133" s="59"/>
      <c r="AR133" s="59"/>
      <c r="AS133" s="59"/>
      <c r="AT133" s="189"/>
      <c r="AU133" s="59"/>
      <c r="AV133" s="59"/>
      <c r="AW133" s="59"/>
      <c r="AX133" s="59">
        <f>V133+AA133+AC133+AE133+AH133+AK133+AM133+AN133+AQ133+AS133+AU133+AW133</f>
        <v>0</v>
      </c>
      <c r="AY133" s="59"/>
      <c r="AZ133" s="170"/>
      <c r="BA133" s="50"/>
      <c r="BB133" s="43"/>
      <c r="BC133" s="50">
        <v>1</v>
      </c>
      <c r="BD133" s="50"/>
      <c r="BG133" s="340"/>
    </row>
    <row r="134" s="5" customFormat="1" ht="17" customHeight="1">
      <c r="A134" s="75"/>
      <c r="B134" s="76" t="s">
        <v>76</v>
      </c>
      <c r="C134" s="77">
        <v>3</v>
      </c>
      <c r="D134" s="77"/>
      <c r="E134" s="77"/>
      <c r="F134" s="78"/>
      <c r="G134" s="79">
        <f>SUM(G135:G146)</f>
        <v>392543</v>
      </c>
      <c r="H134" s="79">
        <f>SUM(H135:H146)</f>
        <v>309588.90000000002</v>
      </c>
      <c r="I134" s="79">
        <f t="shared" ref="I134:U134" si="2052">SUM(I135:I146)</f>
        <v>8682.6000000000004</v>
      </c>
      <c r="J134" s="79">
        <f t="shared" si="2052"/>
        <v>106491</v>
      </c>
      <c r="K134" s="79">
        <f t="shared" si="2052"/>
        <v>71460</v>
      </c>
      <c r="L134" s="79">
        <f t="shared" si="2052"/>
        <v>122955.3</v>
      </c>
      <c r="M134" s="79">
        <f t="shared" si="2052"/>
        <v>0</v>
      </c>
      <c r="N134" s="79">
        <f t="shared" si="2052"/>
        <v>40540</v>
      </c>
      <c r="O134" s="79">
        <f t="shared" si="2052"/>
        <v>17911</v>
      </c>
      <c r="P134" s="79">
        <f t="shared" si="2052"/>
        <v>1028.4000000000001</v>
      </c>
      <c r="Q134" s="59">
        <v>1714</v>
      </c>
      <c r="R134" s="79">
        <f>SUM(R135:R146)</f>
        <v>0</v>
      </c>
      <c r="S134" s="79">
        <f>SUM(S135:S146)</f>
        <v>0</v>
      </c>
      <c r="T134" s="79">
        <f>SUM(T135:T146)</f>
        <v>0</v>
      </c>
      <c r="U134" s="79">
        <f>SUM(U135:U146)</f>
        <v>10066</v>
      </c>
      <c r="V134" s="79">
        <f>SUM(V135:V146)</f>
        <v>4499.94786710076</v>
      </c>
      <c r="W134" s="79"/>
      <c r="X134" s="79">
        <f t="shared" ref="X134:AE134" si="2053">SUM(X135:X146)</f>
        <v>8.5413731115923497</v>
      </c>
      <c r="Y134" s="79">
        <f t="shared" si="2053"/>
        <v>31.6214646802818</v>
      </c>
      <c r="Z134" s="79">
        <f t="shared" si="2053"/>
        <v>26.643910263884901</v>
      </c>
      <c r="AA134" s="79">
        <f t="shared" si="2053"/>
        <v>2110.7557484965901</v>
      </c>
      <c r="AB134" s="79">
        <f t="shared" si="2053"/>
        <v>111994.4295</v>
      </c>
      <c r="AC134" s="79">
        <f t="shared" si="2053"/>
        <v>1412.9573293661899</v>
      </c>
      <c r="AD134" s="79"/>
      <c r="AE134" s="79"/>
      <c r="AF134" s="79">
        <f t="shared" ref="AF134:AS134" si="2054">SUM(AF135:AF146)</f>
        <v>218</v>
      </c>
      <c r="AG134" s="59">
        <f t="shared" si="2054"/>
        <v>214</v>
      </c>
      <c r="AH134" s="59">
        <f t="shared" si="2054"/>
        <v>360.78219839142099</v>
      </c>
      <c r="AI134" s="79">
        <f t="shared" si="2054"/>
        <v>5.8080299090563798</v>
      </c>
      <c r="AJ134" s="59">
        <f t="shared" si="2054"/>
        <v>5.5270947501826999</v>
      </c>
      <c r="AK134" s="59">
        <f t="shared" si="2054"/>
        <v>377.15182780373698</v>
      </c>
      <c r="AL134" s="79"/>
      <c r="AM134" s="79"/>
      <c r="AN134" s="79">
        <f t="shared" si="2054"/>
        <v>21000</v>
      </c>
      <c r="AO134" s="79"/>
      <c r="AP134" s="79"/>
      <c r="AQ134" s="79">
        <f t="shared" si="2054"/>
        <v>0</v>
      </c>
      <c r="AR134" s="79"/>
      <c r="AS134" s="79">
        <f t="shared" ref="AS134:AU134" si="2055">SUM(AS135:AS146)</f>
        <v>0</v>
      </c>
      <c r="AT134" s="405">
        <f t="shared" si="2055"/>
        <v>5.8465802374910697e-002</v>
      </c>
      <c r="AU134" s="79">
        <f t="shared" si="2055"/>
        <v>349.27353407166902</v>
      </c>
      <c r="AV134" s="79"/>
      <c r="AW134" s="81"/>
      <c r="AX134" s="79">
        <f>SUM(AX135:AX146)</f>
        <v>30111</v>
      </c>
      <c r="AY134" s="79">
        <v>13404</v>
      </c>
      <c r="AZ134" s="79">
        <f>SUM(AZ135:AZ146)</f>
        <v>12545.386199457</v>
      </c>
      <c r="BA134" s="79">
        <f>SUM(BA135:BA146)</f>
        <v>17565.613800543</v>
      </c>
      <c r="BB134" s="337">
        <f t="shared" si="1978"/>
        <v>1.4001652496998001</v>
      </c>
      <c r="BC134" s="406">
        <v>503</v>
      </c>
      <c r="BD134" s="79">
        <f>SUM(BD135:BD146)</f>
        <v>18068.613800543</v>
      </c>
      <c r="BG134" s="340"/>
    </row>
    <row r="135" ht="17" customHeight="1">
      <c r="A135" s="46">
        <v>88</v>
      </c>
      <c r="B135" s="82" t="s">
        <v>178</v>
      </c>
      <c r="C135" s="46" t="s">
        <v>78</v>
      </c>
      <c r="D135" s="46"/>
      <c r="E135" s="46"/>
      <c r="F135" s="46"/>
      <c r="G135" s="73">
        <v>14471</v>
      </c>
      <c r="H135" s="59">
        <f t="shared" si="2051"/>
        <v>8682.6000000000004</v>
      </c>
      <c r="I135" s="59">
        <f t="shared" si="2017"/>
        <v>8682.6000000000004</v>
      </c>
      <c r="J135" s="59">
        <f t="shared" si="2018"/>
        <v>0</v>
      </c>
      <c r="K135" s="59">
        <f t="shared" si="2019"/>
        <v>0</v>
      </c>
      <c r="L135" s="59">
        <f t="shared" si="2020"/>
        <v>0</v>
      </c>
      <c r="M135" s="59">
        <f t="shared" si="2021"/>
        <v>0</v>
      </c>
      <c r="N135" s="59">
        <v>891</v>
      </c>
      <c r="O135" s="59">
        <v>153</v>
      </c>
      <c r="P135" s="59">
        <f t="shared" ref="P135:P146" si="2056">Q135*0.6+R135*0.8+S135*1+T135*1.25</f>
        <v>0</v>
      </c>
      <c r="Q135" s="59"/>
      <c r="R135" s="59"/>
      <c r="S135" s="59"/>
      <c r="T135" s="59"/>
      <c r="U135" s="59">
        <v>379</v>
      </c>
      <c r="V135" s="59">
        <f t="shared" ref="V135:V146" si="2057">H135/$H$9*298699*0.12+N135/$N$9*298699*0.15+P135/$P$9*298699*0.035+U135/$U$9*298699*0.025</f>
        <v>118.14713878886</v>
      </c>
      <c r="W135" s="59">
        <v>12252.440000000001</v>
      </c>
      <c r="X135" s="62">
        <f t="shared" ref="X135:X146" si="2058">($W$64-W135)/($W$64-$W$44)</f>
        <v>0.54963514721591999</v>
      </c>
      <c r="Y135" s="62">
        <f t="shared" ref="Y135:Y146" si="2059">(G135+N135)*X135/10000</f>
        <v>0.84434951315309603</v>
      </c>
      <c r="Z135" s="62">
        <f>Y135*0.2</f>
        <v>0.16886990263061899</v>
      </c>
      <c r="AA135" s="59">
        <f t="shared" ref="AA135:AA146" si="2060">Z135/$Z$9*298699*0.12</f>
        <v>13.3780332614612</v>
      </c>
      <c r="AB135" s="59">
        <v>2585.3499999999999</v>
      </c>
      <c r="AC135" s="59">
        <f t="shared" ref="AC135:AC146" si="2061">(AB135/$AB$9*298699*0.03)</f>
        <v>32.617597569679802</v>
      </c>
      <c r="AD135" s="59"/>
      <c r="AE135" s="59"/>
      <c r="AF135" s="59">
        <v>8</v>
      </c>
      <c r="AG135" s="59">
        <f>AF135*0.5</f>
        <v>4</v>
      </c>
      <c r="AH135" s="59">
        <f t="shared" ref="AH135:AH146" si="2062">AG135/$AG$9*298699*0.02</f>
        <v>6.7435924932975899</v>
      </c>
      <c r="AI135" s="59">
        <v>0.56187031774735197</v>
      </c>
      <c r="AJ135" s="59">
        <f>AI135*0.5</f>
        <v>0.28093515887367598</v>
      </c>
      <c r="AK135" s="59">
        <f t="shared" ref="AK135:AK146" si="2063">AJ135/$AJ$9*298699*0.02</f>
        <v>19.1701451580937</v>
      </c>
      <c r="AL135" s="338"/>
      <c r="AM135" s="59"/>
      <c r="AN135" s="59"/>
      <c r="AO135" s="62"/>
      <c r="AP135" s="62"/>
      <c r="AQ135" s="59"/>
      <c r="AR135" s="59"/>
      <c r="AS135" s="59"/>
      <c r="AT135" s="189">
        <f>VLOOKUP(B:B,综合进度!B:N,13,0)</f>
        <v>3.43961351168693e-003</v>
      </c>
      <c r="AU135" s="59">
        <f t="shared" ref="AU135:AU146" si="2064">AT135/$AT$9*298699*0.02</f>
        <v>20.548182326547501</v>
      </c>
      <c r="AV135" s="59"/>
      <c r="AW135" s="59"/>
      <c r="AX135" s="59">
        <f t="shared" ref="AX135:AX146" si="2065">ROUND(V135+AA135+AC135+AN135+AQ135+AS135+AU135+AW135+AH135+AK135,0)</f>
        <v>211</v>
      </c>
      <c r="AY135" s="59">
        <v>159</v>
      </c>
      <c r="AZ135" s="59">
        <f t="shared" ref="AZ135:AZ146" si="2066">AY135/$AY$9*280243</f>
        <v>148.815010870908</v>
      </c>
      <c r="BA135" s="59">
        <f t="shared" ref="BA135:BA146" si="2067">AX135-AZ135</f>
        <v>62.184989129091598</v>
      </c>
      <c r="BB135" s="43">
        <f t="shared" si="1978"/>
        <v>0.41786771888915702</v>
      </c>
      <c r="BC135" s="50">
        <v>-607</v>
      </c>
      <c r="BD135" s="50">
        <f t="shared" ref="BD135:BD146" si="2068">BC135+BA135</f>
        <v>-544.81501087090805</v>
      </c>
      <c r="BG135" s="340"/>
    </row>
    <row r="136" s="54" customFormat="1" ht="17" customHeight="1">
      <c r="A136" s="46">
        <v>89</v>
      </c>
      <c r="B136" s="82" t="s">
        <v>179</v>
      </c>
      <c r="C136" s="46" t="s">
        <v>90</v>
      </c>
      <c r="D136" s="46">
        <v>2018</v>
      </c>
      <c r="E136" s="46"/>
      <c r="F136" s="46"/>
      <c r="G136" s="190">
        <v>15569</v>
      </c>
      <c r="H136" s="172">
        <f t="shared" si="2051"/>
        <v>12455.200000000001</v>
      </c>
      <c r="I136" s="59">
        <f t="shared" si="2017"/>
        <v>0</v>
      </c>
      <c r="J136" s="59">
        <f t="shared" si="2018"/>
        <v>0</v>
      </c>
      <c r="K136" s="59">
        <f t="shared" si="2019"/>
        <v>12455.200000000001</v>
      </c>
      <c r="L136" s="59">
        <f t="shared" si="2020"/>
        <v>0</v>
      </c>
      <c r="M136" s="59">
        <f t="shared" si="2021"/>
        <v>0</v>
      </c>
      <c r="N136" s="59">
        <v>2137</v>
      </c>
      <c r="O136" s="59">
        <v>1058</v>
      </c>
      <c r="P136" s="59">
        <f t="shared" si="2056"/>
        <v>0</v>
      </c>
      <c r="Q136" s="59"/>
      <c r="R136" s="59"/>
      <c r="S136" s="172"/>
      <c r="T136" s="172"/>
      <c r="U136" s="59">
        <v>0</v>
      </c>
      <c r="V136" s="59">
        <f t="shared" si="2057"/>
        <v>184.85932869802201</v>
      </c>
      <c r="W136" s="59">
        <v>10305.219999999999</v>
      </c>
      <c r="X136" s="62">
        <f t="shared" si="2058"/>
        <v>0.86385391688263102</v>
      </c>
      <c r="Y136" s="62">
        <f t="shared" si="2059"/>
        <v>1.52953974523239</v>
      </c>
      <c r="Z136" s="62">
        <f t="shared" ref="Z136:Z138" si="2069">Y136*0.5</f>
        <v>0.764769872616193</v>
      </c>
      <c r="AA136" s="59">
        <f t="shared" si="2060"/>
        <v>60.585791984508298</v>
      </c>
      <c r="AB136" s="59">
        <v>2860.3800000000001</v>
      </c>
      <c r="AC136" s="59">
        <f t="shared" si="2061"/>
        <v>36.087463490962797</v>
      </c>
      <c r="AD136" s="59"/>
      <c r="AE136" s="59"/>
      <c r="AF136" s="59">
        <v>5</v>
      </c>
      <c r="AG136" s="59">
        <f t="shared" si="2022"/>
        <v>5</v>
      </c>
      <c r="AH136" s="59">
        <f t="shared" si="2062"/>
        <v>8.4294906166219796</v>
      </c>
      <c r="AI136" s="59">
        <v>0.38961038961039002</v>
      </c>
      <c r="AJ136" s="59">
        <f t="shared" si="2023"/>
        <v>0.38961038961039002</v>
      </c>
      <c r="AK136" s="59">
        <f t="shared" si="2063"/>
        <v>26.585806325832898</v>
      </c>
      <c r="AL136" s="338"/>
      <c r="AM136" s="59"/>
      <c r="AN136" s="59"/>
      <c r="AO136" s="62"/>
      <c r="AP136" s="62"/>
      <c r="AQ136" s="59"/>
      <c r="AR136" s="59"/>
      <c r="AS136" s="59"/>
      <c r="AT136" s="189">
        <f>VLOOKUP(B:B,综合进度!B:N,13,0)</f>
        <v>6.2994755470036599e-003</v>
      </c>
      <c r="AU136" s="59">
        <f t="shared" si="2064"/>
        <v>37.632940928288903</v>
      </c>
      <c r="AV136" s="59"/>
      <c r="AW136" s="59"/>
      <c r="AX136" s="59">
        <f t="shared" si="2065"/>
        <v>354</v>
      </c>
      <c r="AY136" s="59">
        <v>2288</v>
      </c>
      <c r="AZ136" s="59">
        <f t="shared" si="2066"/>
        <v>2141.4386469977298</v>
      </c>
      <c r="BA136" s="59">
        <f t="shared" si="2067"/>
        <v>-1787.4386469977301</v>
      </c>
      <c r="BB136" s="43">
        <f t="shared" si="1978"/>
        <v>-0.83469057098773103</v>
      </c>
      <c r="BC136" s="50">
        <v>-6491</v>
      </c>
      <c r="BD136" s="50">
        <f t="shared" si="2068"/>
        <v>-8278.4386469977308</v>
      </c>
      <c r="BG136" s="340"/>
    </row>
    <row r="137" ht="17" customHeight="1">
      <c r="A137" s="46">
        <v>90</v>
      </c>
      <c r="B137" s="82" t="s">
        <v>180</v>
      </c>
      <c r="C137" s="46" t="s">
        <v>90</v>
      </c>
      <c r="D137" s="46">
        <v>2017</v>
      </c>
      <c r="E137" s="46"/>
      <c r="F137" s="46"/>
      <c r="G137" s="73">
        <v>30588</v>
      </c>
      <c r="H137" s="59">
        <f t="shared" si="2051"/>
        <v>21411.599999999999</v>
      </c>
      <c r="I137" s="59">
        <f t="shared" si="2017"/>
        <v>0</v>
      </c>
      <c r="J137" s="59">
        <f t="shared" si="2018"/>
        <v>21411.599999999999</v>
      </c>
      <c r="K137" s="59">
        <f t="shared" si="2019"/>
        <v>0</v>
      </c>
      <c r="L137" s="59">
        <f t="shared" si="2020"/>
        <v>0</v>
      </c>
      <c r="M137" s="59">
        <f t="shared" si="2021"/>
        <v>0</v>
      </c>
      <c r="N137" s="59">
        <v>1438</v>
      </c>
      <c r="O137" s="59">
        <v>820</v>
      </c>
      <c r="P137" s="59">
        <f t="shared" si="2056"/>
        <v>0</v>
      </c>
      <c r="Q137" s="59"/>
      <c r="R137" s="59"/>
      <c r="S137" s="59"/>
      <c r="T137" s="59"/>
      <c r="U137" s="59">
        <v>701</v>
      </c>
      <c r="V137" s="59">
        <f t="shared" si="2057"/>
        <v>241.595603600755</v>
      </c>
      <c r="W137" s="59">
        <v>11053.360000000001</v>
      </c>
      <c r="X137" s="62">
        <f t="shared" si="2058"/>
        <v>0.743128148690822</v>
      </c>
      <c r="Y137" s="62">
        <f t="shared" si="2059"/>
        <v>2.37994220899723</v>
      </c>
      <c r="Z137" s="62">
        <f t="shared" si="2069"/>
        <v>1.1899711044986101</v>
      </c>
      <c r="AA137" s="59">
        <f t="shared" si="2060"/>
        <v>94.270635371786298</v>
      </c>
      <c r="AB137" s="59">
        <v>1163.2</v>
      </c>
      <c r="AC137" s="59">
        <f t="shared" si="2061"/>
        <v>14.675301020384699</v>
      </c>
      <c r="AD137" s="59"/>
      <c r="AE137" s="59"/>
      <c r="AF137" s="59">
        <v>8</v>
      </c>
      <c r="AG137" s="59">
        <f t="shared" si="2022"/>
        <v>8</v>
      </c>
      <c r="AH137" s="59">
        <f t="shared" si="2062"/>
        <v>13.487184986595199</v>
      </c>
      <c r="AI137" s="59">
        <v>0.65594269758407198</v>
      </c>
      <c r="AJ137" s="59">
        <f t="shared" si="2023"/>
        <v>0.65594269758407198</v>
      </c>
      <c r="AK137" s="59">
        <f t="shared" si="2063"/>
        <v>44.759498164957201</v>
      </c>
      <c r="AL137" s="338"/>
      <c r="AM137" s="59"/>
      <c r="AN137" s="59"/>
      <c r="AO137" s="62"/>
      <c r="AP137" s="62"/>
      <c r="AQ137" s="59"/>
      <c r="AR137" s="59"/>
      <c r="AS137" s="59"/>
      <c r="AT137" s="189">
        <f>VLOOKUP(B:B,综合进度!B:N,13,0)</f>
        <v>3.2385335877353899e-003</v>
      </c>
      <c r="AU137" s="59">
        <f t="shared" si="2064"/>
        <v>19.346934882459401</v>
      </c>
      <c r="AV137" s="59"/>
      <c r="AW137" s="59"/>
      <c r="AX137" s="59">
        <f t="shared" si="2065"/>
        <v>428</v>
      </c>
      <c r="AY137" s="59">
        <v>319</v>
      </c>
      <c r="AZ137" s="59">
        <f t="shared" si="2066"/>
        <v>298.56596520641398</v>
      </c>
      <c r="BA137" s="59">
        <f t="shared" si="2067"/>
        <v>129.43403479358599</v>
      </c>
      <c r="BB137" s="43">
        <f t="shared" si="1978"/>
        <v>0.43351905400236102</v>
      </c>
      <c r="BC137" s="50">
        <v>1346</v>
      </c>
      <c r="BD137" s="50">
        <f t="shared" si="2068"/>
        <v>1475.4340347935899</v>
      </c>
      <c r="BG137" s="340"/>
    </row>
    <row r="138" ht="17" customHeight="1">
      <c r="A138" s="46">
        <v>91</v>
      </c>
      <c r="B138" s="82" t="s">
        <v>181</v>
      </c>
      <c r="C138" s="46" t="s">
        <v>90</v>
      </c>
      <c r="D138" s="46">
        <v>2017</v>
      </c>
      <c r="E138" s="46"/>
      <c r="F138" s="46"/>
      <c r="G138" s="73">
        <v>34586</v>
      </c>
      <c r="H138" s="59">
        <f t="shared" si="2051"/>
        <v>24210.200000000001</v>
      </c>
      <c r="I138" s="59">
        <f t="shared" si="2017"/>
        <v>0</v>
      </c>
      <c r="J138" s="59">
        <f t="shared" si="2018"/>
        <v>24210.200000000001</v>
      </c>
      <c r="K138" s="59">
        <f t="shared" si="2019"/>
        <v>0</v>
      </c>
      <c r="L138" s="59">
        <f t="shared" si="2020"/>
        <v>0</v>
      </c>
      <c r="M138" s="59">
        <f t="shared" si="2021"/>
        <v>0</v>
      </c>
      <c r="N138" s="59">
        <v>3139</v>
      </c>
      <c r="O138" s="59">
        <v>1427</v>
      </c>
      <c r="P138" s="59">
        <f t="shared" si="2056"/>
        <v>0</v>
      </c>
      <c r="Q138" s="59"/>
      <c r="R138" s="59"/>
      <c r="S138" s="59"/>
      <c r="T138" s="59"/>
      <c r="U138" s="59">
        <v>61</v>
      </c>
      <c r="V138" s="59">
        <f t="shared" si="2057"/>
        <v>311.71510620713701</v>
      </c>
      <c r="W138" s="59">
        <v>10633.58</v>
      </c>
      <c r="X138" s="62">
        <f t="shared" si="2058"/>
        <v>0.81086715873113202</v>
      </c>
      <c r="Y138" s="62">
        <f t="shared" si="2059"/>
        <v>3.0589963563131999</v>
      </c>
      <c r="Z138" s="62">
        <f t="shared" si="2069"/>
        <v>1.5294981781565999</v>
      </c>
      <c r="AA138" s="59">
        <f t="shared" si="2060"/>
        <v>121.16829098599401</v>
      </c>
      <c r="AB138" s="59">
        <v>17233.5</v>
      </c>
      <c r="AC138" s="59">
        <f t="shared" si="2061"/>
        <v>217.423315109009</v>
      </c>
      <c r="AD138" s="59"/>
      <c r="AE138" s="59"/>
      <c r="AF138" s="59">
        <v>42</v>
      </c>
      <c r="AG138" s="59">
        <f t="shared" si="2022"/>
        <v>42</v>
      </c>
      <c r="AH138" s="59">
        <f t="shared" si="2062"/>
        <v>70.807721179624707</v>
      </c>
      <c r="AI138" s="59">
        <v>0.25648079568299698</v>
      </c>
      <c r="AJ138" s="59">
        <f t="shared" si="2023"/>
        <v>0.25648079568299698</v>
      </c>
      <c r="AK138" s="59">
        <f t="shared" si="2063"/>
        <v>17.501455151497399</v>
      </c>
      <c r="AL138" s="338"/>
      <c r="AM138" s="59"/>
      <c r="AN138" s="59"/>
      <c r="AO138" s="62"/>
      <c r="AP138" s="62"/>
      <c r="AQ138" s="59"/>
      <c r="AR138" s="59"/>
      <c r="AS138" s="59"/>
      <c r="AT138" s="189">
        <f>VLOOKUP(B:B,综合进度!B:N,13,0)</f>
        <v>3.4525375589900299e-003</v>
      </c>
      <c r="AU138" s="59">
        <f t="shared" si="2064"/>
        <v>20.6253903266553</v>
      </c>
      <c r="AV138" s="59"/>
      <c r="AW138" s="59"/>
      <c r="AX138" s="59">
        <f t="shared" si="2065"/>
        <v>759</v>
      </c>
      <c r="AY138" s="59">
        <v>407</v>
      </c>
      <c r="AZ138" s="59">
        <f t="shared" si="2066"/>
        <v>380.92899009094202</v>
      </c>
      <c r="BA138" s="59">
        <f t="shared" si="2067"/>
        <v>378.07100990905798</v>
      </c>
      <c r="BB138" s="43">
        <f t="shared" si="1978"/>
        <v>0.99249734135172796</v>
      </c>
      <c r="BC138" s="50">
        <v>2763</v>
      </c>
      <c r="BD138" s="50">
        <f t="shared" si="2068"/>
        <v>3141.0710099090602</v>
      </c>
      <c r="BG138" s="340"/>
    </row>
    <row r="139" ht="17" customHeight="1">
      <c r="A139" s="46">
        <v>92</v>
      </c>
      <c r="B139" s="82" t="s">
        <v>182</v>
      </c>
      <c r="C139" s="46" t="s">
        <v>90</v>
      </c>
      <c r="D139" s="46">
        <v>2019</v>
      </c>
      <c r="E139" s="46" t="s">
        <v>91</v>
      </c>
      <c r="F139" s="46"/>
      <c r="G139" s="73">
        <v>63053</v>
      </c>
      <c r="H139" s="59">
        <f t="shared" si="2051"/>
        <v>56747.699999999997</v>
      </c>
      <c r="I139" s="59">
        <f t="shared" si="2017"/>
        <v>0</v>
      </c>
      <c r="J139" s="59">
        <f t="shared" si="2018"/>
        <v>0</v>
      </c>
      <c r="K139" s="59">
        <f t="shared" si="2019"/>
        <v>0</v>
      </c>
      <c r="L139" s="59">
        <f t="shared" si="2020"/>
        <v>56747.699999999997</v>
      </c>
      <c r="M139" s="59">
        <f t="shared" si="2021"/>
        <v>0</v>
      </c>
      <c r="N139" s="59">
        <v>7716</v>
      </c>
      <c r="O139" s="59">
        <v>1481</v>
      </c>
      <c r="P139" s="59">
        <f t="shared" si="2056"/>
        <v>0</v>
      </c>
      <c r="Q139" s="59"/>
      <c r="R139" s="59"/>
      <c r="S139" s="59"/>
      <c r="T139" s="59"/>
      <c r="U139" s="59">
        <v>2557</v>
      </c>
      <c r="V139" s="59">
        <f t="shared" si="2057"/>
        <v>870.78283017733702</v>
      </c>
      <c r="W139" s="59">
        <v>10601.57</v>
      </c>
      <c r="X139" s="62">
        <f t="shared" si="2058"/>
        <v>0.81603254467469899</v>
      </c>
      <c r="Y139" s="62">
        <f t="shared" si="2059"/>
        <v>5.7749807154083701</v>
      </c>
      <c r="Z139" s="62">
        <f t="shared" ref="Z139:Z145" si="2070">Y139*1</f>
        <v>5.7749807154083701</v>
      </c>
      <c r="AA139" s="59">
        <f t="shared" si="2060"/>
        <v>457.49942939223303</v>
      </c>
      <c r="AB139" s="59">
        <v>15802.719499999999</v>
      </c>
      <c r="AC139" s="59">
        <f t="shared" si="2061"/>
        <v>199.37213342778799</v>
      </c>
      <c r="AD139" s="59"/>
      <c r="AE139" s="59"/>
      <c r="AF139" s="59">
        <v>10</v>
      </c>
      <c r="AG139" s="59">
        <f t="shared" si="2022"/>
        <v>10</v>
      </c>
      <c r="AH139" s="59">
        <f t="shared" si="2062"/>
        <v>16.858981233243998</v>
      </c>
      <c r="AI139" s="59">
        <v>0.167782760951035</v>
      </c>
      <c r="AJ139" s="59">
        <f t="shared" si="2023"/>
        <v>0.167782760951035</v>
      </c>
      <c r="AK139" s="59">
        <f t="shared" si="2063"/>
        <v>11.448975967808201</v>
      </c>
      <c r="AL139" s="338"/>
      <c r="AM139" s="59"/>
      <c r="AN139" s="59">
        <v>3000</v>
      </c>
      <c r="AO139" s="62"/>
      <c r="AP139" s="62"/>
      <c r="AQ139" s="59"/>
      <c r="AR139" s="59"/>
      <c r="AS139" s="59"/>
      <c r="AT139" s="189">
        <f>VLOOKUP(B:B,综合进度!B:N,13,0)</f>
        <v>6.9544034560761201e-003</v>
      </c>
      <c r="AU139" s="59">
        <f t="shared" si="2064"/>
        <v>41.545467158529597</v>
      </c>
      <c r="AV139" s="59"/>
      <c r="AW139" s="59"/>
      <c r="AX139" s="59">
        <f t="shared" si="2065"/>
        <v>4598</v>
      </c>
      <c r="AY139" s="59">
        <v>2037</v>
      </c>
      <c r="AZ139" s="59">
        <f t="shared" si="2066"/>
        <v>1906.5168373839001</v>
      </c>
      <c r="BA139" s="59">
        <f t="shared" si="2067"/>
        <v>2691.4831626160999</v>
      </c>
      <c r="BB139" s="43">
        <f t="shared" si="1978"/>
        <v>1.41172797944408</v>
      </c>
      <c r="BC139" s="50">
        <v>-510</v>
      </c>
      <c r="BD139" s="50">
        <f t="shared" si="2068"/>
        <v>2181.4831626160999</v>
      </c>
      <c r="BG139" s="340"/>
    </row>
    <row r="140" ht="17" customHeight="1">
      <c r="A140" s="46">
        <v>93</v>
      </c>
      <c r="B140" s="82" t="s">
        <v>183</v>
      </c>
      <c r="C140" s="46" t="s">
        <v>90</v>
      </c>
      <c r="D140" s="46">
        <v>2018</v>
      </c>
      <c r="E140" s="46" t="s">
        <v>91</v>
      </c>
      <c r="F140" s="46"/>
      <c r="G140" s="73">
        <v>53447</v>
      </c>
      <c r="H140" s="59">
        <f t="shared" si="2051"/>
        <v>42757.599999999999</v>
      </c>
      <c r="I140" s="59">
        <f t="shared" si="2017"/>
        <v>0</v>
      </c>
      <c r="J140" s="59">
        <f t="shared" si="2018"/>
        <v>0</v>
      </c>
      <c r="K140" s="59">
        <f t="shared" si="2019"/>
        <v>42757.599999999999</v>
      </c>
      <c r="L140" s="59">
        <f t="shared" si="2020"/>
        <v>0</v>
      </c>
      <c r="M140" s="59">
        <f t="shared" si="2021"/>
        <v>0</v>
      </c>
      <c r="N140" s="59">
        <v>6456</v>
      </c>
      <c r="O140" s="59">
        <v>1813</v>
      </c>
      <c r="P140" s="59">
        <f t="shared" si="2056"/>
        <v>0</v>
      </c>
      <c r="Q140" s="59"/>
      <c r="R140" s="59"/>
      <c r="S140" s="59"/>
      <c r="T140" s="59"/>
      <c r="U140" s="59">
        <v>1464</v>
      </c>
      <c r="V140" s="59">
        <f t="shared" si="2057"/>
        <v>664.76698235901802</v>
      </c>
      <c r="W140" s="59">
        <v>11188.459999999999</v>
      </c>
      <c r="X140" s="62">
        <f t="shared" si="2058"/>
        <v>0.72132734766064999</v>
      </c>
      <c r="Y140" s="62">
        <f t="shared" si="2059"/>
        <v>4.32096721069159</v>
      </c>
      <c r="Z140" s="62">
        <f t="shared" si="2070"/>
        <v>4.32096721069159</v>
      </c>
      <c r="AA140" s="59">
        <f t="shared" si="2060"/>
        <v>342.31110556603102</v>
      </c>
      <c r="AB140" s="59">
        <v>3070.0900000000001</v>
      </c>
      <c r="AC140" s="59">
        <f t="shared" si="2061"/>
        <v>38.733231524821797</v>
      </c>
      <c r="AD140" s="59"/>
      <c r="AE140" s="59"/>
      <c r="AF140" s="59">
        <v>30</v>
      </c>
      <c r="AG140" s="59">
        <f t="shared" si="2022"/>
        <v>30</v>
      </c>
      <c r="AH140" s="59">
        <f t="shared" si="2062"/>
        <v>50.576943699731899</v>
      </c>
      <c r="AI140" s="59">
        <v>0.79704278869981804</v>
      </c>
      <c r="AJ140" s="59">
        <f t="shared" si="2023"/>
        <v>0.79704278869981804</v>
      </c>
      <c r="AK140" s="59">
        <f t="shared" si="2063"/>
        <v>54.3877313820227</v>
      </c>
      <c r="AL140" s="338"/>
      <c r="AM140" s="59"/>
      <c r="AN140" s="59">
        <v>3000</v>
      </c>
      <c r="AO140" s="62"/>
      <c r="AP140" s="62"/>
      <c r="AQ140" s="59"/>
      <c r="AR140" s="59"/>
      <c r="AS140" s="59"/>
      <c r="AT140" s="189">
        <f>VLOOKUP(B:B,综合进度!B:N,13,0)</f>
        <v>6.69083597608816e-003</v>
      </c>
      <c r="AU140" s="59">
        <f t="shared" si="2064"/>
        <v>39.970920304431203</v>
      </c>
      <c r="AV140" s="59"/>
      <c r="AW140" s="59"/>
      <c r="AX140" s="59">
        <f t="shared" si="2065"/>
        <v>4191</v>
      </c>
      <c r="AY140" s="59">
        <v>2357</v>
      </c>
      <c r="AZ140" s="59">
        <f t="shared" si="2066"/>
        <v>2206.01874605491</v>
      </c>
      <c r="BA140" s="59">
        <f t="shared" si="2067"/>
        <v>1984.98125394509</v>
      </c>
      <c r="BB140" s="43">
        <f t="shared" si="1978"/>
        <v>0.89980253227443696</v>
      </c>
      <c r="BC140" s="50">
        <v>-2205</v>
      </c>
      <c r="BD140" s="50">
        <f t="shared" si="2068"/>
        <v>-220.01874605491199</v>
      </c>
      <c r="BG140" s="340"/>
    </row>
    <row r="141" ht="17" customHeight="1">
      <c r="A141" s="46">
        <v>94</v>
      </c>
      <c r="B141" s="82" t="s">
        <v>184</v>
      </c>
      <c r="C141" s="46" t="s">
        <v>90</v>
      </c>
      <c r="D141" s="46">
        <v>2017</v>
      </c>
      <c r="E141" s="46" t="s">
        <v>91</v>
      </c>
      <c r="F141" s="46"/>
      <c r="G141" s="73">
        <v>28858</v>
      </c>
      <c r="H141" s="59">
        <f t="shared" si="2051"/>
        <v>20200.599999999999</v>
      </c>
      <c r="I141" s="59">
        <f t="shared" si="2017"/>
        <v>0</v>
      </c>
      <c r="J141" s="59">
        <f t="shared" si="2018"/>
        <v>20200.599999999999</v>
      </c>
      <c r="K141" s="59">
        <f t="shared" si="2019"/>
        <v>0</v>
      </c>
      <c r="L141" s="59">
        <f t="shared" si="2020"/>
        <v>0</v>
      </c>
      <c r="M141" s="59">
        <f t="shared" si="2021"/>
        <v>0</v>
      </c>
      <c r="N141" s="59">
        <v>2450</v>
      </c>
      <c r="O141" s="59">
        <v>1314</v>
      </c>
      <c r="P141" s="59">
        <f t="shared" si="2056"/>
        <v>0</v>
      </c>
      <c r="Q141" s="59"/>
      <c r="R141" s="59"/>
      <c r="S141" s="59"/>
      <c r="T141" s="59"/>
      <c r="U141" s="59">
        <v>901</v>
      </c>
      <c r="V141" s="59">
        <f t="shared" si="2057"/>
        <v>294.68609643638803</v>
      </c>
      <c r="W141" s="59">
        <v>10232.51</v>
      </c>
      <c r="X141" s="62">
        <f t="shared" si="2058"/>
        <v>0.875586975675405</v>
      </c>
      <c r="Y141" s="62">
        <f t="shared" si="2059"/>
        <v>2.7412877034445602</v>
      </c>
      <c r="Z141" s="62">
        <f t="shared" si="2070"/>
        <v>2.7412877034445602</v>
      </c>
      <c r="AA141" s="59">
        <f t="shared" si="2060"/>
        <v>217.167402270216</v>
      </c>
      <c r="AB141" s="59">
        <v>16323.6</v>
      </c>
      <c r="AC141" s="59">
        <f t="shared" si="2061"/>
        <v>205.94372742121001</v>
      </c>
      <c r="AD141" s="59"/>
      <c r="AE141" s="59"/>
      <c r="AF141" s="59">
        <v>24</v>
      </c>
      <c r="AG141" s="59">
        <f t="shared" si="2022"/>
        <v>24</v>
      </c>
      <c r="AH141" s="59">
        <f t="shared" si="2062"/>
        <v>40.461554959785502</v>
      </c>
      <c r="AI141" s="59">
        <v>0.60083981721625301</v>
      </c>
      <c r="AJ141" s="59">
        <f t="shared" si="2023"/>
        <v>0.60083981721625301</v>
      </c>
      <c r="AK141" s="59">
        <f t="shared" si="2063"/>
        <v>40.999448267624302</v>
      </c>
      <c r="AL141" s="338"/>
      <c r="AM141" s="59"/>
      <c r="AN141" s="59">
        <v>3000</v>
      </c>
      <c r="AO141" s="62"/>
      <c r="AP141" s="62"/>
      <c r="AQ141" s="59"/>
      <c r="AR141" s="59"/>
      <c r="AS141" s="59"/>
      <c r="AT141" s="189">
        <f>VLOOKUP(B:B,综合进度!B:N,13,0)</f>
        <v>4.2210698077504603e-003</v>
      </c>
      <c r="AU141" s="59">
        <f t="shared" si="2064"/>
        <v>25.2165866101051</v>
      </c>
      <c r="AV141" s="59"/>
      <c r="AW141" s="59"/>
      <c r="AX141" s="59">
        <f t="shared" si="2065"/>
        <v>3824</v>
      </c>
      <c r="AY141" s="59">
        <v>562</v>
      </c>
      <c r="AZ141" s="59">
        <f t="shared" si="2066"/>
        <v>526.00022710346195</v>
      </c>
      <c r="BA141" s="59">
        <f t="shared" si="2067"/>
        <v>3297.99977289654</v>
      </c>
      <c r="BB141" s="43">
        <f t="shared" si="1978"/>
        <v>6.2699588383406404</v>
      </c>
      <c r="BC141" s="50">
        <v>1418</v>
      </c>
      <c r="BD141" s="50">
        <f t="shared" si="2068"/>
        <v>4715.99977289654</v>
      </c>
      <c r="BG141" s="340"/>
    </row>
    <row r="142" ht="17" customHeight="1">
      <c r="A142" s="46">
        <v>95</v>
      </c>
      <c r="B142" s="82" t="s">
        <v>185</v>
      </c>
      <c r="C142" s="46" t="s">
        <v>90</v>
      </c>
      <c r="D142" s="46">
        <v>2018</v>
      </c>
      <c r="E142" s="46" t="s">
        <v>91</v>
      </c>
      <c r="F142" s="46"/>
      <c r="G142" s="73">
        <v>20309</v>
      </c>
      <c r="H142" s="59">
        <f t="shared" si="2051"/>
        <v>16247.200000000001</v>
      </c>
      <c r="I142" s="59">
        <f t="shared" si="2017"/>
        <v>0</v>
      </c>
      <c r="J142" s="59">
        <f t="shared" si="2018"/>
        <v>0</v>
      </c>
      <c r="K142" s="59">
        <f t="shared" si="2019"/>
        <v>16247.200000000001</v>
      </c>
      <c r="L142" s="59">
        <f t="shared" si="2020"/>
        <v>0</v>
      </c>
      <c r="M142" s="59">
        <f t="shared" si="2021"/>
        <v>0</v>
      </c>
      <c r="N142" s="59">
        <v>2522</v>
      </c>
      <c r="O142" s="59">
        <v>1192</v>
      </c>
      <c r="P142" s="59">
        <f t="shared" si="2056"/>
        <v>0</v>
      </c>
      <c r="Q142" s="59"/>
      <c r="R142" s="59"/>
      <c r="S142" s="59"/>
      <c r="T142" s="59"/>
      <c r="U142" s="59">
        <v>325</v>
      </c>
      <c r="V142" s="59">
        <f t="shared" si="2057"/>
        <v>244.32720490086299</v>
      </c>
      <c r="W142" s="59">
        <v>11587.610000000001</v>
      </c>
      <c r="X142" s="62">
        <f t="shared" si="2058"/>
        <v>0.65691735705226095</v>
      </c>
      <c r="Y142" s="62">
        <f t="shared" si="2059"/>
        <v>1.49980801788602</v>
      </c>
      <c r="Z142" s="62">
        <f t="shared" si="2070"/>
        <v>1.49980801788602</v>
      </c>
      <c r="AA142" s="59">
        <f t="shared" si="2060"/>
        <v>118.816208433386</v>
      </c>
      <c r="AB142" s="59">
        <v>7447.5</v>
      </c>
      <c r="AC142" s="59">
        <f t="shared" si="2061"/>
        <v>93.960027810621398</v>
      </c>
      <c r="AD142" s="59"/>
      <c r="AE142" s="59"/>
      <c r="AF142" s="59">
        <v>7</v>
      </c>
      <c r="AG142" s="59">
        <f t="shared" si="2022"/>
        <v>7</v>
      </c>
      <c r="AH142" s="59">
        <f t="shared" si="2062"/>
        <v>11.8012868632708</v>
      </c>
      <c r="AI142" s="59">
        <v>3.0393622321873402e-002</v>
      </c>
      <c r="AJ142" s="59">
        <f t="shared" si="2023"/>
        <v>3.0393622321873402e-002</v>
      </c>
      <c r="AK142" s="59">
        <f t="shared" si="2063"/>
        <v>2.0739666552472502</v>
      </c>
      <c r="AL142" s="338"/>
      <c r="AM142" s="59"/>
      <c r="AN142" s="59">
        <v>3000</v>
      </c>
      <c r="AO142" s="62"/>
      <c r="AP142" s="62"/>
      <c r="AQ142" s="59"/>
      <c r="AR142" s="59"/>
      <c r="AS142" s="59"/>
      <c r="AT142" s="189">
        <f>VLOOKUP(B:B,综合进度!B:N,13,0)</f>
        <v>4.5508056699135697e-003</v>
      </c>
      <c r="AU142" s="59">
        <f t="shared" si="2064"/>
        <v>27.186422055950199</v>
      </c>
      <c r="AV142" s="59"/>
      <c r="AW142" s="59"/>
      <c r="AX142" s="59">
        <f t="shared" si="2065"/>
        <v>3498</v>
      </c>
      <c r="AY142" s="59">
        <v>1178</v>
      </c>
      <c r="AZ142" s="59">
        <f t="shared" si="2066"/>
        <v>1102.5414012951601</v>
      </c>
      <c r="BA142" s="59">
        <f t="shared" si="2067"/>
        <v>2395.4585987048399</v>
      </c>
      <c r="BB142" s="43">
        <f t="shared" si="1978"/>
        <v>2.1726699749242</v>
      </c>
      <c r="BC142" s="50">
        <v>1105</v>
      </c>
      <c r="BD142" s="50">
        <f t="shared" si="2068"/>
        <v>3500.4585987048399</v>
      </c>
      <c r="BG142" s="340"/>
    </row>
    <row r="143" ht="17" customHeight="1">
      <c r="A143" s="46">
        <v>96</v>
      </c>
      <c r="B143" s="82" t="s">
        <v>186</v>
      </c>
      <c r="C143" s="46" t="s">
        <v>90</v>
      </c>
      <c r="D143" s="46">
        <v>2019</v>
      </c>
      <c r="E143" s="46" t="s">
        <v>91</v>
      </c>
      <c r="F143" s="46"/>
      <c r="G143" s="73">
        <v>44723</v>
      </c>
      <c r="H143" s="59">
        <f t="shared" si="2051"/>
        <v>40250.699999999997</v>
      </c>
      <c r="I143" s="59">
        <f t="shared" si="2017"/>
        <v>0</v>
      </c>
      <c r="J143" s="59">
        <f t="shared" si="2018"/>
        <v>0</v>
      </c>
      <c r="K143" s="59">
        <f t="shared" si="2019"/>
        <v>0</v>
      </c>
      <c r="L143" s="59">
        <f t="shared" si="2020"/>
        <v>40250.699999999997</v>
      </c>
      <c r="M143" s="59">
        <f t="shared" si="2021"/>
        <v>0</v>
      </c>
      <c r="N143" s="59">
        <v>6336</v>
      </c>
      <c r="O143" s="59">
        <v>4637</v>
      </c>
      <c r="P143" s="59">
        <f t="shared" si="2056"/>
        <v>1028.4000000000001</v>
      </c>
      <c r="Q143" s="59">
        <v>1714</v>
      </c>
      <c r="R143" s="59"/>
      <c r="S143" s="59"/>
      <c r="T143" s="59"/>
      <c r="U143" s="59">
        <v>1979</v>
      </c>
      <c r="V143" s="59">
        <f t="shared" si="2057"/>
        <v>692.83026446203996</v>
      </c>
      <c r="W143" s="59">
        <v>10597.82</v>
      </c>
      <c r="X143" s="62">
        <f t="shared" si="2058"/>
        <v>0.81663767423697198</v>
      </c>
      <c r="Y143" s="62">
        <f t="shared" si="2059"/>
        <v>4.1696703008865601</v>
      </c>
      <c r="Z143" s="62">
        <f t="shared" si="2070"/>
        <v>4.1696703008865601</v>
      </c>
      <c r="AA143" s="59">
        <f t="shared" si="2060"/>
        <v>330.32522140196301</v>
      </c>
      <c r="AB143" s="59">
        <v>12737.440000000001</v>
      </c>
      <c r="AC143" s="59">
        <f t="shared" si="2061"/>
        <v>160.69959270038601</v>
      </c>
      <c r="AD143" s="59"/>
      <c r="AE143" s="59"/>
      <c r="AF143" s="59">
        <v>16</v>
      </c>
      <c r="AG143" s="59">
        <f t="shared" si="2022"/>
        <v>16</v>
      </c>
      <c r="AH143" s="59">
        <f t="shared" si="2062"/>
        <v>26.974369973190399</v>
      </c>
      <c r="AI143" s="59">
        <v>0.66811779769526203</v>
      </c>
      <c r="AJ143" s="59">
        <f t="shared" si="2023"/>
        <v>0.66811779769526203</v>
      </c>
      <c r="AK143" s="59">
        <f t="shared" si="2063"/>
        <v>45.590289289078399</v>
      </c>
      <c r="AL143" s="338"/>
      <c r="AM143" s="59"/>
      <c r="AN143" s="59">
        <v>3000</v>
      </c>
      <c r="AO143" s="62"/>
      <c r="AP143" s="62"/>
      <c r="AQ143" s="59"/>
      <c r="AR143" s="59"/>
      <c r="AS143" s="59"/>
      <c r="AT143" s="189">
        <f>VLOOKUP(B:B,综合进度!B:N,13,0)</f>
        <v>6.5979878305186803e-003</v>
      </c>
      <c r="AU143" s="59">
        <f t="shared" si="2064"/>
        <v>39.416247339762002</v>
      </c>
      <c r="AV143" s="59"/>
      <c r="AW143" s="59"/>
      <c r="AX143" s="59">
        <f t="shared" si="2065"/>
        <v>4296</v>
      </c>
      <c r="AY143" s="59">
        <v>1825</v>
      </c>
      <c r="AZ143" s="59">
        <f t="shared" si="2066"/>
        <v>1708.0968228893601</v>
      </c>
      <c r="BA143" s="59">
        <f t="shared" si="2067"/>
        <v>2587.9031771106402</v>
      </c>
      <c r="BB143" s="43">
        <f t="shared" si="1978"/>
        <v>1.51507990790185</v>
      </c>
      <c r="BC143" s="50">
        <v>228</v>
      </c>
      <c r="BD143" s="50">
        <f t="shared" si="2068"/>
        <v>2815.9031771106402</v>
      </c>
      <c r="BG143" s="340"/>
    </row>
    <row r="144" s="5" customFormat="1" ht="17" customHeight="1">
      <c r="A144" s="46">
        <v>97</v>
      </c>
      <c r="B144" s="82" t="s">
        <v>187</v>
      </c>
      <c r="C144" s="46" t="s">
        <v>90</v>
      </c>
      <c r="D144" s="46">
        <v>2017</v>
      </c>
      <c r="E144" s="46" t="s">
        <v>91</v>
      </c>
      <c r="F144" s="46"/>
      <c r="G144" s="73">
        <v>28268</v>
      </c>
      <c r="H144" s="59">
        <f t="shared" si="2051"/>
        <v>19787.599999999999</v>
      </c>
      <c r="I144" s="59">
        <f t="shared" si="2017"/>
        <v>0</v>
      </c>
      <c r="J144" s="59">
        <f t="shared" si="2018"/>
        <v>19787.599999999999</v>
      </c>
      <c r="K144" s="59">
        <f t="shared" si="2019"/>
        <v>0</v>
      </c>
      <c r="L144" s="59">
        <f t="shared" si="2020"/>
        <v>0</v>
      </c>
      <c r="M144" s="59">
        <f t="shared" si="2021"/>
        <v>0</v>
      </c>
      <c r="N144" s="59">
        <v>1632</v>
      </c>
      <c r="O144" s="59">
        <v>1475</v>
      </c>
      <c r="P144" s="59">
        <f t="shared" si="2056"/>
        <v>0</v>
      </c>
      <c r="Q144" s="59"/>
      <c r="R144" s="59"/>
      <c r="S144" s="59"/>
      <c r="T144" s="59"/>
      <c r="U144" s="59">
        <v>0</v>
      </c>
      <c r="V144" s="59">
        <f t="shared" si="2057"/>
        <v>205.60856495136301</v>
      </c>
      <c r="W144" s="59">
        <v>12245.32</v>
      </c>
      <c r="X144" s="62">
        <f t="shared" si="2058"/>
        <v>0.55078408654482303</v>
      </c>
      <c r="Y144" s="62">
        <f t="shared" si="2059"/>
        <v>1.6468444187690201</v>
      </c>
      <c r="Z144" s="62">
        <f t="shared" si="2070"/>
        <v>1.6468444187690201</v>
      </c>
      <c r="AA144" s="59">
        <f t="shared" si="2060"/>
        <v>130.464571054647</v>
      </c>
      <c r="AB144" s="59">
        <v>6727.8000000000002</v>
      </c>
      <c r="AC144" s="59">
        <f t="shared" si="2061"/>
        <v>84.880063793796396</v>
      </c>
      <c r="AD144" s="59"/>
      <c r="AE144" s="59"/>
      <c r="AF144" s="59">
        <v>8</v>
      </c>
      <c r="AG144" s="59">
        <f t="shared" si="2022"/>
        <v>8</v>
      </c>
      <c r="AH144" s="59">
        <f t="shared" si="2062"/>
        <v>13.487184986595199</v>
      </c>
      <c r="AI144" s="59">
        <v>7.6844411979547098e-002</v>
      </c>
      <c r="AJ144" s="59">
        <f t="shared" si="2023"/>
        <v>7.6844411979547098e-002</v>
      </c>
      <c r="AK144" s="59">
        <f t="shared" si="2063"/>
        <v>5.2436246788842498</v>
      </c>
      <c r="AL144" s="338"/>
      <c r="AM144" s="59"/>
      <c r="AN144" s="59">
        <v>3000</v>
      </c>
      <c r="AO144" s="62"/>
      <c r="AP144" s="62"/>
      <c r="AQ144" s="59"/>
      <c r="AR144" s="59"/>
      <c r="AS144" s="59"/>
      <c r="AT144" s="189">
        <f>VLOOKUP(B:B,综合进度!B:N,13,0)</f>
        <v>3.49726343655518e-003</v>
      </c>
      <c r="AU144" s="59">
        <f t="shared" si="2064"/>
        <v>20.8925818247119</v>
      </c>
      <c r="AV144" s="59"/>
      <c r="AW144" s="59"/>
      <c r="AX144" s="59">
        <f t="shared" si="2065"/>
        <v>3461</v>
      </c>
      <c r="AY144" s="59">
        <v>353</v>
      </c>
      <c r="AZ144" s="59">
        <f t="shared" si="2066"/>
        <v>330.38804300270903</v>
      </c>
      <c r="BA144" s="59">
        <f t="shared" si="2067"/>
        <v>3130.6119569972898</v>
      </c>
      <c r="BB144" s="43">
        <f t="shared" si="1978"/>
        <v>9.4755607029387097</v>
      </c>
      <c r="BC144" s="50">
        <v>1271</v>
      </c>
      <c r="BD144" s="50">
        <f t="shared" si="2068"/>
        <v>4401.6119569972898</v>
      </c>
      <c r="BG144" s="340"/>
    </row>
    <row r="145" ht="17" customHeight="1">
      <c r="A145" s="46">
        <v>98</v>
      </c>
      <c r="B145" s="82" t="s">
        <v>188</v>
      </c>
      <c r="C145" s="46" t="s">
        <v>90</v>
      </c>
      <c r="D145" s="46">
        <v>2019</v>
      </c>
      <c r="E145" s="46" t="s">
        <v>91</v>
      </c>
      <c r="F145" s="46"/>
      <c r="G145" s="73">
        <v>28841</v>
      </c>
      <c r="H145" s="59">
        <f t="shared" si="2051"/>
        <v>25956.900000000001</v>
      </c>
      <c r="I145" s="59">
        <f t="shared" si="2017"/>
        <v>0</v>
      </c>
      <c r="J145" s="59">
        <f t="shared" si="2018"/>
        <v>0</v>
      </c>
      <c r="K145" s="59">
        <f t="shared" si="2019"/>
        <v>0</v>
      </c>
      <c r="L145" s="59">
        <f t="shared" si="2020"/>
        <v>25956.900000000001</v>
      </c>
      <c r="M145" s="59">
        <f t="shared" si="2021"/>
        <v>0</v>
      </c>
      <c r="N145" s="59">
        <v>2702</v>
      </c>
      <c r="O145" s="59">
        <v>1764</v>
      </c>
      <c r="P145" s="59">
        <f t="shared" si="2056"/>
        <v>0</v>
      </c>
      <c r="Q145" s="59"/>
      <c r="R145" s="59"/>
      <c r="S145" s="59"/>
      <c r="T145" s="59"/>
      <c r="U145" s="59">
        <v>1139</v>
      </c>
      <c r="V145" s="59">
        <f t="shared" si="2057"/>
        <v>355.42146613277998</v>
      </c>
      <c r="W145" s="59">
        <v>11691.16</v>
      </c>
      <c r="X145" s="62">
        <f t="shared" si="2058"/>
        <v>0.64020771273934896</v>
      </c>
      <c r="Y145" s="62">
        <f t="shared" si="2059"/>
        <v>2.0194071882937301</v>
      </c>
      <c r="Z145" s="62">
        <f t="shared" si="2070"/>
        <v>2.0194071882937301</v>
      </c>
      <c r="AA145" s="59">
        <f t="shared" si="2060"/>
        <v>159.97934571278</v>
      </c>
      <c r="AB145" s="59">
        <v>11833</v>
      </c>
      <c r="AC145" s="59">
        <f t="shared" si="2061"/>
        <v>149.28889010850401</v>
      </c>
      <c r="AD145" s="59"/>
      <c r="AE145" s="59"/>
      <c r="AF145" s="59">
        <v>17</v>
      </c>
      <c r="AG145" s="59">
        <f t="shared" si="2022"/>
        <v>17</v>
      </c>
      <c r="AH145" s="59">
        <f t="shared" si="2062"/>
        <v>28.660268096514699</v>
      </c>
      <c r="AI145" s="59">
        <v>1</v>
      </c>
      <c r="AJ145" s="59">
        <f t="shared" si="2023"/>
        <v>1</v>
      </c>
      <c r="AK145" s="59">
        <f t="shared" si="2063"/>
        <v>68.236902902970996</v>
      </c>
      <c r="AL145" s="338"/>
      <c r="AM145" s="59"/>
      <c r="AN145" s="59">
        <v>3000</v>
      </c>
      <c r="AO145" s="62"/>
      <c r="AP145" s="62"/>
      <c r="AQ145" s="59"/>
      <c r="AR145" s="59"/>
      <c r="AS145" s="59"/>
      <c r="AT145" s="189">
        <f>VLOOKUP(B:B,综合进度!B:N,13,0)</f>
        <v>5.9191473097709802e-003</v>
      </c>
      <c r="AU145" s="59">
        <f t="shared" si="2064"/>
        <v>35.360867645625703</v>
      </c>
      <c r="AV145" s="59"/>
      <c r="AW145" s="59"/>
      <c r="AX145" s="59">
        <f t="shared" si="2065"/>
        <v>3797</v>
      </c>
      <c r="AY145" s="59">
        <v>1470</v>
      </c>
      <c r="AZ145" s="59">
        <f t="shared" si="2066"/>
        <v>1375.8368929574499</v>
      </c>
      <c r="BA145" s="59">
        <f t="shared" si="2067"/>
        <v>2421.1631070425501</v>
      </c>
      <c r="BB145" s="43">
        <f t="shared" si="1978"/>
        <v>1.7597748101071</v>
      </c>
      <c r="BC145" s="50">
        <v>-766</v>
      </c>
      <c r="BD145" s="50">
        <f t="shared" si="2068"/>
        <v>1655.1631070425501</v>
      </c>
      <c r="BG145" s="340"/>
    </row>
    <row r="146" s="5" customFormat="1" ht="17" customHeight="1">
      <c r="A146" s="46">
        <v>99</v>
      </c>
      <c r="B146" s="82" t="s">
        <v>189</v>
      </c>
      <c r="C146" s="46" t="s">
        <v>90</v>
      </c>
      <c r="D146" s="46">
        <v>2017</v>
      </c>
      <c r="E146" s="46"/>
      <c r="F146" s="46"/>
      <c r="G146" s="73">
        <v>29830</v>
      </c>
      <c r="H146" s="59">
        <f t="shared" si="2051"/>
        <v>20881</v>
      </c>
      <c r="I146" s="59">
        <f t="shared" si="2017"/>
        <v>0</v>
      </c>
      <c r="J146" s="59">
        <f t="shared" si="2018"/>
        <v>20881</v>
      </c>
      <c r="K146" s="59">
        <f t="shared" si="2019"/>
        <v>0</v>
      </c>
      <c r="L146" s="59">
        <f t="shared" si="2020"/>
        <v>0</v>
      </c>
      <c r="M146" s="59">
        <f t="shared" si="2021"/>
        <v>0</v>
      </c>
      <c r="N146" s="59">
        <v>3121</v>
      </c>
      <c r="O146" s="59">
        <v>777</v>
      </c>
      <c r="P146" s="59">
        <f t="shared" si="2056"/>
        <v>0</v>
      </c>
      <c r="Q146" s="59"/>
      <c r="R146" s="59"/>
      <c r="S146" s="59"/>
      <c r="T146" s="59"/>
      <c r="U146" s="59">
        <v>560</v>
      </c>
      <c r="V146" s="59">
        <f t="shared" si="2057"/>
        <v>315.20728038620302</v>
      </c>
      <c r="W146" s="59">
        <v>12582.370000000001</v>
      </c>
      <c r="X146" s="62">
        <f t="shared" si="2058"/>
        <v>0.49639504148768299</v>
      </c>
      <c r="Y146" s="62">
        <f t="shared" si="2059"/>
        <v>1.63567130120606</v>
      </c>
      <c r="Z146" s="62">
        <f>Y146*0.5</f>
        <v>0.81783565060303198</v>
      </c>
      <c r="AA146" s="59">
        <f t="shared" si="2060"/>
        <v>64.789713061587904</v>
      </c>
      <c r="AB146" s="59">
        <v>14209.85</v>
      </c>
      <c r="AC146" s="59">
        <f t="shared" si="2061"/>
        <v>179.27598538902399</v>
      </c>
      <c r="AD146" s="59"/>
      <c r="AE146" s="59"/>
      <c r="AF146" s="59">
        <v>43</v>
      </c>
      <c r="AG146" s="59">
        <f t="shared" si="2022"/>
        <v>43</v>
      </c>
      <c r="AH146" s="59">
        <f t="shared" si="2062"/>
        <v>72.493619302949099</v>
      </c>
      <c r="AI146" s="59">
        <v>0.60310450956777695</v>
      </c>
      <c r="AJ146" s="59">
        <f t="shared" si="2023"/>
        <v>0.60310450956777695</v>
      </c>
      <c r="AK146" s="59">
        <f t="shared" si="2063"/>
        <v>41.153983859720299</v>
      </c>
      <c r="AL146" s="338"/>
      <c r="AM146" s="59"/>
      <c r="AN146" s="59"/>
      <c r="AO146" s="62"/>
      <c r="AP146" s="62"/>
      <c r="AQ146" s="59"/>
      <c r="AR146" s="59"/>
      <c r="AS146" s="59"/>
      <c r="AT146" s="189">
        <f>VLOOKUP(B:B,综合进度!B:N,13,0)</f>
        <v>3.6041286828214802e-003</v>
      </c>
      <c r="AU146" s="59">
        <f t="shared" si="2064"/>
        <v>21.5309926686019</v>
      </c>
      <c r="AV146" s="59"/>
      <c r="AW146" s="59"/>
      <c r="AX146" s="59">
        <f t="shared" si="2065"/>
        <v>694</v>
      </c>
      <c r="AY146" s="59">
        <v>449</v>
      </c>
      <c r="AZ146" s="59">
        <f t="shared" si="2066"/>
        <v>420.23861560401201</v>
      </c>
      <c r="BA146" s="59">
        <f t="shared" si="2067"/>
        <v>273.76138439598799</v>
      </c>
      <c r="BB146" s="43">
        <f t="shared" si="1978"/>
        <v>0.65144271428390599</v>
      </c>
      <c r="BC146" s="50">
        <v>2951</v>
      </c>
      <c r="BD146" s="50">
        <f t="shared" si="2068"/>
        <v>3224.7613843959898</v>
      </c>
      <c r="BG146" s="340"/>
    </row>
    <row r="147" s="5" customFormat="1" ht="17" customHeight="1">
      <c r="A147" s="65"/>
      <c r="B147" s="66" t="s">
        <v>190</v>
      </c>
      <c r="C147" s="67">
        <v>1</v>
      </c>
      <c r="D147" s="67"/>
      <c r="E147" s="67"/>
      <c r="F147" s="68"/>
      <c r="G147" s="69">
        <f>G148+G149</f>
        <v>351335</v>
      </c>
      <c r="H147" s="69">
        <f>H148+H149</f>
        <v>288578.70000000001</v>
      </c>
      <c r="I147" s="69">
        <f t="shared" ref="I147:U147" si="2071">I148+I149</f>
        <v>27989.400000000001</v>
      </c>
      <c r="J147" s="69">
        <f t="shared" si="2071"/>
        <v>0</v>
      </c>
      <c r="K147" s="69">
        <f t="shared" si="2071"/>
        <v>109024.8</v>
      </c>
      <c r="L147" s="69">
        <f t="shared" si="2071"/>
        <v>151564.5</v>
      </c>
      <c r="M147" s="69">
        <f t="shared" si="2071"/>
        <v>0</v>
      </c>
      <c r="N147" s="69">
        <f t="shared" si="2071"/>
        <v>59014</v>
      </c>
      <c r="O147" s="69">
        <f t="shared" si="2071"/>
        <v>72169</v>
      </c>
      <c r="P147" s="69">
        <f t="shared" si="2071"/>
        <v>10903</v>
      </c>
      <c r="Q147" s="59">
        <v>12897</v>
      </c>
      <c r="R147" s="69">
        <f>R148+R149</f>
        <v>3956</v>
      </c>
      <c r="S147" s="69">
        <f>S148+S149</f>
        <v>0</v>
      </c>
      <c r="T147" s="69">
        <f>T148+T149</f>
        <v>0</v>
      </c>
      <c r="U147" s="69">
        <f>U148+U149</f>
        <v>9488</v>
      </c>
      <c r="V147" s="69">
        <f>V148+V149</f>
        <v>5489.4191776801799</v>
      </c>
      <c r="W147" s="69"/>
      <c r="X147" s="69">
        <f t="shared" ref="X147:AE147" si="2072">X148+X149</f>
        <v>2.6114116139693002</v>
      </c>
      <c r="Y147" s="69">
        <f t="shared" si="2072"/>
        <v>22.136207123262501</v>
      </c>
      <c r="Z147" s="69">
        <f t="shared" si="2072"/>
        <v>13.2730137990518</v>
      </c>
      <c r="AA147" s="69">
        <f t="shared" si="2072"/>
        <v>1051.50069560917</v>
      </c>
      <c r="AB147" s="69">
        <f t="shared" si="2072"/>
        <v>36442.120000000003</v>
      </c>
      <c r="AC147" s="69">
        <f t="shared" si="2072"/>
        <v>459.76537209506603</v>
      </c>
      <c r="AD147" s="69"/>
      <c r="AE147" s="69"/>
      <c r="AF147" s="69">
        <f t="shared" ref="AF147:AS147" si="2073">AF148+AF149</f>
        <v>149</v>
      </c>
      <c r="AG147" s="59">
        <f t="shared" si="2073"/>
        <v>129.5</v>
      </c>
      <c r="AH147" s="59">
        <f t="shared" si="2073"/>
        <v>218.323806970509</v>
      </c>
      <c r="AI147" s="69">
        <f t="shared" si="2073"/>
        <v>2.2944220469844101</v>
      </c>
      <c r="AJ147" s="59">
        <f t="shared" si="2073"/>
        <v>2.0289087733754698</v>
      </c>
      <c r="AK147" s="59">
        <f t="shared" si="2073"/>
        <v>138.446450967808</v>
      </c>
      <c r="AL147" s="69"/>
      <c r="AM147" s="69"/>
      <c r="AN147" s="69">
        <f t="shared" si="2073"/>
        <v>3000</v>
      </c>
      <c r="AO147" s="69"/>
      <c r="AP147" s="69"/>
      <c r="AQ147" s="69">
        <f t="shared" si="2073"/>
        <v>0</v>
      </c>
      <c r="AR147" s="69"/>
      <c r="AS147" s="69">
        <f t="shared" ref="AS147:AU147" si="2074">AS148+AS149</f>
        <v>0</v>
      </c>
      <c r="AT147" s="403">
        <f t="shared" si="2074"/>
        <v>3.3095731292091701e-002</v>
      </c>
      <c r="AU147" s="69">
        <f t="shared" si="2074"/>
        <v>197.71323682433001</v>
      </c>
      <c r="AV147" s="69"/>
      <c r="AW147" s="71"/>
      <c r="AX147" s="69">
        <f>AX148+AX149</f>
        <v>10556</v>
      </c>
      <c r="AY147" s="69">
        <v>8381</v>
      </c>
      <c r="AZ147" s="69">
        <f>AZ148+AZ149</f>
        <v>7844.1421767866896</v>
      </c>
      <c r="BA147" s="69">
        <f>BA148+BA149</f>
        <v>2711.85782321331</v>
      </c>
      <c r="BB147" s="336">
        <f t="shared" si="1978"/>
        <v>0.34571757651697899</v>
      </c>
      <c r="BC147" s="404">
        <v>1322</v>
      </c>
      <c r="BD147" s="69">
        <f>BD148+BD149</f>
        <v>4020.85782321331</v>
      </c>
      <c r="BG147" s="340"/>
    </row>
    <row r="148" s="5" customFormat="1" ht="17" customHeight="1">
      <c r="A148" s="44"/>
      <c r="B148" s="72" t="s">
        <v>191</v>
      </c>
      <c r="C148" s="46">
        <v>2</v>
      </c>
      <c r="D148" s="46"/>
      <c r="E148" s="46"/>
      <c r="F148" s="46"/>
      <c r="G148" s="73"/>
      <c r="H148" s="59">
        <f t="shared" ref="H148:H154" si="2075">SUM(I148:M148)</f>
        <v>0</v>
      </c>
      <c r="I148" s="59">
        <f t="shared" si="2017"/>
        <v>0</v>
      </c>
      <c r="J148" s="59">
        <f t="shared" si="2018"/>
        <v>0</v>
      </c>
      <c r="K148" s="59">
        <f t="shared" si="2019"/>
        <v>0</v>
      </c>
      <c r="L148" s="59">
        <f t="shared" si="2020"/>
        <v>0</v>
      </c>
      <c r="M148" s="59">
        <f t="shared" si="2021"/>
        <v>0</v>
      </c>
      <c r="N148" s="59"/>
      <c r="O148" s="59"/>
      <c r="P148" s="59">
        <f>L148*0.4+M148*0.6+N148*0.8+O148*1</f>
        <v>0</v>
      </c>
      <c r="Q148" s="59"/>
      <c r="R148" s="59"/>
      <c r="S148" s="59"/>
      <c r="T148" s="59"/>
      <c r="U148" s="59"/>
      <c r="V148" s="59">
        <f>H148/$H$9*134866+N148/$N$9*202299+P148/$P$9*100000+U148/$U$9*34867</f>
        <v>0</v>
      </c>
      <c r="W148" s="59"/>
      <c r="X148" s="62"/>
      <c r="Y148" s="62"/>
      <c r="Z148" s="62"/>
      <c r="AA148" s="59"/>
      <c r="AB148" s="59"/>
      <c r="AC148" s="59"/>
      <c r="AD148" s="59"/>
      <c r="AE148" s="59"/>
      <c r="AF148" s="59"/>
      <c r="AG148" s="59">
        <f t="shared" si="2022"/>
        <v>0</v>
      </c>
      <c r="AH148" s="59">
        <f>AG148/$AG$9*40459.89</f>
        <v>0</v>
      </c>
      <c r="AI148" s="59"/>
      <c r="AJ148" s="59">
        <f t="shared" si="2023"/>
        <v>0</v>
      </c>
      <c r="AK148" s="59">
        <f>AJ148/$AJ$9*40459.89</f>
        <v>0</v>
      </c>
      <c r="AL148" s="59"/>
      <c r="AM148" s="59"/>
      <c r="AN148" s="59"/>
      <c r="AO148" s="62"/>
      <c r="AP148" s="62"/>
      <c r="AQ148" s="59"/>
      <c r="AR148" s="59"/>
      <c r="AS148" s="59"/>
      <c r="AT148" s="189"/>
      <c r="AU148" s="59"/>
      <c r="AV148" s="59"/>
      <c r="AW148" s="59"/>
      <c r="AX148" s="59">
        <f>V148+AA148+AC148+AE148+AH148+AK148+AM148+AN148+AQ148+AS148+AU148+AW148</f>
        <v>0</v>
      </c>
      <c r="AY148" s="59"/>
      <c r="AZ148" s="170"/>
      <c r="BA148" s="50"/>
      <c r="BB148" s="43"/>
      <c r="BC148" s="50">
        <v>13</v>
      </c>
      <c r="BD148" s="50"/>
      <c r="BG148" s="340"/>
    </row>
    <row r="149" s="5" customFormat="1" ht="17" customHeight="1">
      <c r="A149" s="75"/>
      <c r="B149" s="76" t="s">
        <v>76</v>
      </c>
      <c r="C149" s="77">
        <v>3</v>
      </c>
      <c r="D149" s="77"/>
      <c r="E149" s="77"/>
      <c r="F149" s="78"/>
      <c r="G149" s="79">
        <f>SUM(G150:G154)</f>
        <v>351335</v>
      </c>
      <c r="H149" s="79">
        <f>SUM(H150:H154)</f>
        <v>288578.70000000001</v>
      </c>
      <c r="I149" s="79">
        <f t="shared" ref="I149:U149" si="2076">SUM(I150:I154)</f>
        <v>27989.400000000001</v>
      </c>
      <c r="J149" s="79">
        <f t="shared" si="2076"/>
        <v>0</v>
      </c>
      <c r="K149" s="79">
        <f t="shared" si="2076"/>
        <v>109024.8</v>
      </c>
      <c r="L149" s="79">
        <f t="shared" si="2076"/>
        <v>151564.5</v>
      </c>
      <c r="M149" s="79">
        <f t="shared" si="2076"/>
        <v>0</v>
      </c>
      <c r="N149" s="79">
        <f t="shared" si="2076"/>
        <v>59014</v>
      </c>
      <c r="O149" s="79">
        <f t="shared" si="2076"/>
        <v>72169</v>
      </c>
      <c r="P149" s="79">
        <f t="shared" si="2076"/>
        <v>10903</v>
      </c>
      <c r="Q149" s="59">
        <v>12897</v>
      </c>
      <c r="R149" s="79">
        <f>SUM(R150:R154)</f>
        <v>3956</v>
      </c>
      <c r="S149" s="79">
        <f>SUM(S150:S154)</f>
        <v>0</v>
      </c>
      <c r="T149" s="79">
        <f>SUM(T150:T154)</f>
        <v>0</v>
      </c>
      <c r="U149" s="79">
        <f>SUM(U150:U154)</f>
        <v>9488</v>
      </c>
      <c r="V149" s="79">
        <f>SUM(V150:V154)</f>
        <v>5489.4191776801799</v>
      </c>
      <c r="W149" s="79"/>
      <c r="X149" s="79">
        <f t="shared" ref="X149:AE149" si="2077">SUM(X150:X154)</f>
        <v>2.6114116139693002</v>
      </c>
      <c r="Y149" s="79">
        <f t="shared" si="2077"/>
        <v>22.136207123262501</v>
      </c>
      <c r="Z149" s="79">
        <f t="shared" si="2077"/>
        <v>13.2730137990518</v>
      </c>
      <c r="AA149" s="79">
        <f t="shared" si="2077"/>
        <v>1051.50069560917</v>
      </c>
      <c r="AB149" s="79">
        <f t="shared" si="2077"/>
        <v>36442.120000000003</v>
      </c>
      <c r="AC149" s="79">
        <f t="shared" si="2077"/>
        <v>459.76537209506603</v>
      </c>
      <c r="AD149" s="79"/>
      <c r="AE149" s="79"/>
      <c r="AF149" s="79">
        <f t="shared" ref="AF149:AS149" si="2078">SUM(AF150:AF154)</f>
        <v>149</v>
      </c>
      <c r="AG149" s="59">
        <f t="shared" si="2078"/>
        <v>129.5</v>
      </c>
      <c r="AH149" s="59">
        <f t="shared" si="2078"/>
        <v>218.323806970509</v>
      </c>
      <c r="AI149" s="79">
        <f t="shared" si="2078"/>
        <v>2.2944220469844101</v>
      </c>
      <c r="AJ149" s="59">
        <f t="shared" si="2078"/>
        <v>2.0289087733754698</v>
      </c>
      <c r="AK149" s="59">
        <f t="shared" si="2078"/>
        <v>138.446450967808</v>
      </c>
      <c r="AL149" s="79"/>
      <c r="AM149" s="79"/>
      <c r="AN149" s="79">
        <f t="shared" si="2078"/>
        <v>3000</v>
      </c>
      <c r="AO149" s="79"/>
      <c r="AP149" s="79"/>
      <c r="AQ149" s="79">
        <f t="shared" si="2078"/>
        <v>0</v>
      </c>
      <c r="AR149" s="79"/>
      <c r="AS149" s="79">
        <f t="shared" ref="AS149:AU149" si="2079">SUM(AS150:AS154)</f>
        <v>0</v>
      </c>
      <c r="AT149" s="405">
        <f t="shared" si="2079"/>
        <v>3.3095731292091701e-002</v>
      </c>
      <c r="AU149" s="79">
        <f t="shared" si="2079"/>
        <v>197.71323682433001</v>
      </c>
      <c r="AV149" s="79"/>
      <c r="AW149" s="81"/>
      <c r="AX149" s="79">
        <f>SUM(AX150:AX154)</f>
        <v>10556</v>
      </c>
      <c r="AY149" s="79">
        <v>8381</v>
      </c>
      <c r="AZ149" s="79">
        <f>SUM(AZ150:AZ154)</f>
        <v>7844.1421767866896</v>
      </c>
      <c r="BA149" s="79">
        <f>SUM(BA150:BA154)</f>
        <v>2711.85782321331</v>
      </c>
      <c r="BB149" s="337">
        <f t="shared" si="1978"/>
        <v>0.34571757651697899</v>
      </c>
      <c r="BC149" s="406">
        <v>1309</v>
      </c>
      <c r="BD149" s="79">
        <f>SUM(BD150:BD154)</f>
        <v>4020.85782321331</v>
      </c>
      <c r="BG149" s="340"/>
    </row>
    <row r="150" ht="17" customHeight="1">
      <c r="A150" s="46">
        <v>100</v>
      </c>
      <c r="B150" s="82" t="s">
        <v>192</v>
      </c>
      <c r="C150" s="46" t="s">
        <v>90</v>
      </c>
      <c r="D150" s="46">
        <v>2019</v>
      </c>
      <c r="E150" s="46"/>
      <c r="F150" s="46"/>
      <c r="G150" s="73">
        <v>86550</v>
      </c>
      <c r="H150" s="59">
        <f t="shared" si="2075"/>
        <v>77895</v>
      </c>
      <c r="I150" s="59">
        <f t="shared" ref="I150:I183" si="2080">IF(D150="",G150*0.6,0)</f>
        <v>0</v>
      </c>
      <c r="J150" s="59">
        <f t="shared" ref="J150:J183" si="2081">IF(D150=2017,G150*0.7,0)</f>
        <v>0</v>
      </c>
      <c r="K150" s="59">
        <f t="shared" ref="K150:K183" si="2082">IF(D150=2018,G150*0.8,0)</f>
        <v>0</v>
      </c>
      <c r="L150" s="59">
        <f t="shared" ref="L150:L183" si="2083">IF(D150=2019,G150*0.9,0)</f>
        <v>77895</v>
      </c>
      <c r="M150" s="59">
        <f t="shared" ref="M150:M183" si="2084">IF(D150=2020,G150*1,0)</f>
        <v>0</v>
      </c>
      <c r="N150" s="59">
        <v>18597</v>
      </c>
      <c r="O150" s="59">
        <v>18864</v>
      </c>
      <c r="P150" s="59">
        <f t="shared" ref="P150:P154" si="2085">Q150*0.6+R150*0.8+S150*1+T150*1.25</f>
        <v>3751.1999999999998</v>
      </c>
      <c r="Q150" s="59">
        <v>6252</v>
      </c>
      <c r="R150" s="59"/>
      <c r="S150" s="59"/>
      <c r="T150" s="59"/>
      <c r="U150" s="59">
        <v>1694</v>
      </c>
      <c r="V150" s="59">
        <f t="shared" ref="V150:V154" si="2086">H150/$H$9*298699*0.12+N150/$N$9*298699*0.15+P150/$P$9*298699*0.035+U150/$U$9*298699*0.025</f>
        <v>1589.72516821261</v>
      </c>
      <c r="W150" s="59">
        <v>11842.049999999999</v>
      </c>
      <c r="X150" s="62">
        <f t="shared" ref="X150:X154" si="2087">($W$64-W150)/($W$64-$W$44)</f>
        <v>0.61585891283229699</v>
      </c>
      <c r="Y150" s="62">
        <f t="shared" ref="Y150:Y154" si="2088">(G150+N150)*X150/10000</f>
        <v>6.47557171075775</v>
      </c>
      <c r="Z150" s="62">
        <f t="shared" ref="Z150:Z154" si="2089">Y150*0.5</f>
        <v>3.2377858553788799</v>
      </c>
      <c r="AA150" s="59">
        <f t="shared" ref="AA150:AA154" si="2090">Z150/$Z$9*298699*0.12</f>
        <v>256.50045503664199</v>
      </c>
      <c r="AB150" s="59">
        <v>4215.2299999999996</v>
      </c>
      <c r="AC150" s="59">
        <f t="shared" ref="AC150:AC154" si="2091">(AB150/$AB$9*298699*0.03)</f>
        <v>53.180681843325402</v>
      </c>
      <c r="AD150" s="59"/>
      <c r="AE150" s="59"/>
      <c r="AF150" s="59">
        <v>22</v>
      </c>
      <c r="AG150" s="59">
        <f t="shared" ref="AG150:AG183" si="2092">AF150</f>
        <v>22</v>
      </c>
      <c r="AH150" s="59">
        <f t="shared" ref="AH150:AH154" si="2093">AG150/$AG$9*298699*0.02</f>
        <v>37.089758713136703</v>
      </c>
      <c r="AI150" s="59">
        <v>0.47147776613265502</v>
      </c>
      <c r="AJ150" s="59">
        <f t="shared" ref="AJ150:AJ183" si="2094">AI150</f>
        <v>0.47147776613265502</v>
      </c>
      <c r="AK150" s="59">
        <f t="shared" ref="AK150:AK154" si="2095">AJ150/$AJ$9*298699*0.02</f>
        <v>32.172182548503599</v>
      </c>
      <c r="AL150" s="338"/>
      <c r="AM150" s="59"/>
      <c r="AN150" s="59"/>
      <c r="AO150" s="62"/>
      <c r="AP150" s="62"/>
      <c r="AQ150" s="59"/>
      <c r="AR150" s="59"/>
      <c r="AS150" s="59"/>
      <c r="AT150" s="189">
        <f>VLOOKUP(B:B,综合进度!B:N,13,0)</f>
        <v>7.3870839743187099e-003</v>
      </c>
      <c r="AU150" s="59">
        <f t="shared" ref="AU150:AU154" si="2096">AT150/$AT$9*298699*0.02</f>
        <v>44.130291920900397</v>
      </c>
      <c r="AV150" s="59"/>
      <c r="AW150" s="59"/>
      <c r="AX150" s="59">
        <f t="shared" ref="AX150:AX154" si="2097">ROUND(V150+AA150+AC150+AN150+AQ150+AS150+AU150+AW150+AH150+AK150,0)</f>
        <v>2013</v>
      </c>
      <c r="AY150" s="59">
        <v>2349</v>
      </c>
      <c r="AZ150" s="59">
        <f t="shared" ref="AZ150:AZ154" si="2098">AY150/$AY$9*280243</f>
        <v>2198.5311983381398</v>
      </c>
      <c r="BA150" s="59">
        <f t="shared" ref="BA150:BA154" si="2099">AX150-AZ150</f>
        <v>-185.53119833813699</v>
      </c>
      <c r="BB150" s="43">
        <f t="shared" si="1978"/>
        <v>-8.4388703912129895e-002</v>
      </c>
      <c r="BC150" s="50">
        <v>1775</v>
      </c>
      <c r="BD150" s="50">
        <f t="shared" ref="BD150:BD154" si="2100">BC150+BA150</f>
        <v>1589.46880166186</v>
      </c>
      <c r="BG150" s="340"/>
    </row>
    <row r="151" ht="17" customHeight="1">
      <c r="A151" s="46">
        <v>101</v>
      </c>
      <c r="B151" s="82" t="s">
        <v>193</v>
      </c>
      <c r="C151" s="46" t="s">
        <v>90</v>
      </c>
      <c r="D151" s="46">
        <v>2019</v>
      </c>
      <c r="E151" s="46" t="s">
        <v>91</v>
      </c>
      <c r="F151" s="46"/>
      <c r="G151" s="73">
        <v>81855</v>
      </c>
      <c r="H151" s="59">
        <f t="shared" si="2075"/>
        <v>73669.5</v>
      </c>
      <c r="I151" s="59">
        <f t="shared" si="2080"/>
        <v>0</v>
      </c>
      <c r="J151" s="59">
        <f t="shared" si="2081"/>
        <v>0</v>
      </c>
      <c r="K151" s="59">
        <f t="shared" si="2082"/>
        <v>0</v>
      </c>
      <c r="L151" s="59">
        <f t="shared" si="2083"/>
        <v>73669.5</v>
      </c>
      <c r="M151" s="59">
        <f t="shared" si="2084"/>
        <v>0</v>
      </c>
      <c r="N151" s="59">
        <v>10064</v>
      </c>
      <c r="O151" s="59">
        <v>21939</v>
      </c>
      <c r="P151" s="59">
        <f t="shared" si="2085"/>
        <v>6669.3999999999996</v>
      </c>
      <c r="Q151" s="59">
        <v>5841</v>
      </c>
      <c r="R151" s="59">
        <v>3956</v>
      </c>
      <c r="S151" s="59"/>
      <c r="T151" s="59"/>
      <c r="U151" s="59">
        <v>1730</v>
      </c>
      <c r="V151" s="59">
        <f t="shared" si="2086"/>
        <v>1206.0175191742201</v>
      </c>
      <c r="W151" s="59">
        <v>11840.129999999999</v>
      </c>
      <c r="X151" s="62">
        <f t="shared" si="2087"/>
        <v>0.61616873916818105</v>
      </c>
      <c r="Y151" s="62">
        <f t="shared" si="2088"/>
        <v>5.6637614335600004</v>
      </c>
      <c r="Z151" s="62">
        <f>Y151*1</f>
        <v>5.6637614335600004</v>
      </c>
      <c r="AA151" s="59">
        <f t="shared" si="2090"/>
        <v>448.68853278658997</v>
      </c>
      <c r="AB151" s="59">
        <v>16451.290000000001</v>
      </c>
      <c r="AC151" s="59">
        <f t="shared" si="2091"/>
        <v>207.55470505815299</v>
      </c>
      <c r="AD151" s="59"/>
      <c r="AE151" s="59"/>
      <c r="AF151" s="59">
        <v>34</v>
      </c>
      <c r="AG151" s="59">
        <f t="shared" si="2092"/>
        <v>34</v>
      </c>
      <c r="AH151" s="59">
        <f t="shared" si="2093"/>
        <v>57.320536193029497</v>
      </c>
      <c r="AI151" s="59">
        <v>0.63954967261764595</v>
      </c>
      <c r="AJ151" s="59">
        <f t="shared" si="2094"/>
        <v>0.63954967261764595</v>
      </c>
      <c r="AK151" s="59">
        <f t="shared" si="2095"/>
        <v>43.640888912037198</v>
      </c>
      <c r="AL151" s="338"/>
      <c r="AM151" s="59"/>
      <c r="AN151" s="59">
        <v>3000</v>
      </c>
      <c r="AO151" s="62"/>
      <c r="AP151" s="62"/>
      <c r="AQ151" s="59"/>
      <c r="AR151" s="59"/>
      <c r="AS151" s="59"/>
      <c r="AT151" s="189">
        <f>VLOOKUP(B:B,综合进度!B:N,13,0)</f>
        <v>9.3566245749317906e-003</v>
      </c>
      <c r="AU151" s="59">
        <f t="shared" si="2096"/>
        <v>55.896288078151002</v>
      </c>
      <c r="AV151" s="59"/>
      <c r="AW151" s="59"/>
      <c r="AX151" s="59">
        <f t="shared" si="2097"/>
        <v>5019</v>
      </c>
      <c r="AY151" s="59">
        <v>2265</v>
      </c>
      <c r="AZ151" s="59">
        <f t="shared" si="2098"/>
        <v>2119.9119473119999</v>
      </c>
      <c r="BA151" s="59">
        <f t="shared" si="2099"/>
        <v>2899.0880526880001</v>
      </c>
      <c r="BB151" s="43">
        <f t="shared" si="1978"/>
        <v>1.3675511647377501</v>
      </c>
      <c r="BC151" s="50">
        <v>-1689</v>
      </c>
      <c r="BD151" s="50">
        <f t="shared" si="2100"/>
        <v>1210.0880526880001</v>
      </c>
      <c r="BG151" s="340"/>
    </row>
    <row r="152" ht="17" customHeight="1">
      <c r="A152" s="46">
        <v>102</v>
      </c>
      <c r="B152" s="82" t="s">
        <v>194</v>
      </c>
      <c r="C152" s="46" t="s">
        <v>78</v>
      </c>
      <c r="D152" s="46"/>
      <c r="E152" s="46"/>
      <c r="F152" s="46" t="s">
        <v>146</v>
      </c>
      <c r="G152" s="73">
        <v>46649</v>
      </c>
      <c r="H152" s="59">
        <f t="shared" si="2075"/>
        <v>27989.400000000001</v>
      </c>
      <c r="I152" s="59">
        <f t="shared" si="2080"/>
        <v>27989.400000000001</v>
      </c>
      <c r="J152" s="59">
        <f t="shared" si="2081"/>
        <v>0</v>
      </c>
      <c r="K152" s="59">
        <f t="shared" si="2082"/>
        <v>0</v>
      </c>
      <c r="L152" s="59">
        <f t="shared" si="2083"/>
        <v>0</v>
      </c>
      <c r="M152" s="59">
        <f t="shared" si="2084"/>
        <v>0</v>
      </c>
      <c r="N152" s="59">
        <v>10751</v>
      </c>
      <c r="O152" s="59">
        <v>4204</v>
      </c>
      <c r="P152" s="59">
        <f t="shared" si="2085"/>
        <v>0</v>
      </c>
      <c r="Q152" s="59"/>
      <c r="R152" s="59"/>
      <c r="S152" s="59"/>
      <c r="T152" s="59"/>
      <c r="U152" s="59">
        <v>1680</v>
      </c>
      <c r="V152" s="59">
        <f t="shared" si="2086"/>
        <v>797.66768076069002</v>
      </c>
      <c r="W152" s="59">
        <v>13402.24</v>
      </c>
      <c r="X152" s="62">
        <f t="shared" si="2087"/>
        <v>0.36409435502870802</v>
      </c>
      <c r="Y152" s="62">
        <f t="shared" si="2088"/>
        <v>2.0899015978647801</v>
      </c>
      <c r="Z152" s="62">
        <f>Y152*0.2</f>
        <v>0.41798031957295601</v>
      </c>
      <c r="AA152" s="59">
        <f t="shared" si="2090"/>
        <v>33.1127958906592</v>
      </c>
      <c r="AB152" s="59">
        <v>2678.9000000000001</v>
      </c>
      <c r="AC152" s="59">
        <f t="shared" si="2091"/>
        <v>33.797854112369698</v>
      </c>
      <c r="AD152" s="59"/>
      <c r="AE152" s="59"/>
      <c r="AF152" s="59">
        <v>39</v>
      </c>
      <c r="AG152" s="59">
        <f>AF152*0.5</f>
        <v>19.5</v>
      </c>
      <c r="AH152" s="59">
        <f t="shared" si="2093"/>
        <v>32.875013404825701</v>
      </c>
      <c r="AI152" s="59">
        <v>0.531026547217884</v>
      </c>
      <c r="AJ152" s="59">
        <f>AI152*0.5</f>
        <v>0.265513273608942</v>
      </c>
      <c r="AK152" s="59">
        <f t="shared" si="2095"/>
        <v>18.117803470703301</v>
      </c>
      <c r="AL152" s="338"/>
      <c r="AM152" s="59"/>
      <c r="AN152" s="59"/>
      <c r="AO152" s="62"/>
      <c r="AP152" s="62"/>
      <c r="AQ152" s="59"/>
      <c r="AR152" s="59"/>
      <c r="AS152" s="59"/>
      <c r="AT152" s="189">
        <f>VLOOKUP(B:B,综合进度!B:N,13,0)</f>
        <v>5.01327178611878e-003</v>
      </c>
      <c r="AU152" s="59">
        <f t="shared" si="2096"/>
        <v>29.9491853848379</v>
      </c>
      <c r="AV152" s="59"/>
      <c r="AW152" s="59"/>
      <c r="AX152" s="59">
        <f t="shared" si="2097"/>
        <v>946</v>
      </c>
      <c r="AY152" s="59">
        <v>684</v>
      </c>
      <c r="AZ152" s="59">
        <f t="shared" si="2098"/>
        <v>640.18532978428505</v>
      </c>
      <c r="BA152" s="59">
        <f t="shared" si="2099"/>
        <v>305.81467021571501</v>
      </c>
      <c r="BB152" s="43">
        <f t="shared" si="1978"/>
        <v>0.47769709174491898</v>
      </c>
      <c r="BC152" s="50">
        <v>-128</v>
      </c>
      <c r="BD152" s="50">
        <f t="shared" si="2100"/>
        <v>177.81467021571501</v>
      </c>
      <c r="BG152" s="340"/>
    </row>
    <row r="153" ht="17" customHeight="1">
      <c r="A153" s="46">
        <v>103</v>
      </c>
      <c r="B153" s="82" t="s">
        <v>196</v>
      </c>
      <c r="C153" s="46" t="s">
        <v>90</v>
      </c>
      <c r="D153" s="46">
        <v>2018</v>
      </c>
      <c r="E153" s="46"/>
      <c r="F153" s="46"/>
      <c r="G153" s="73">
        <v>80286</v>
      </c>
      <c r="H153" s="59">
        <f t="shared" si="2075"/>
        <v>64228.800000000003</v>
      </c>
      <c r="I153" s="59">
        <f t="shared" si="2080"/>
        <v>0</v>
      </c>
      <c r="J153" s="59">
        <f t="shared" si="2081"/>
        <v>0</v>
      </c>
      <c r="K153" s="59">
        <f t="shared" si="2082"/>
        <v>64228.800000000003</v>
      </c>
      <c r="L153" s="59">
        <f t="shared" si="2083"/>
        <v>0</v>
      </c>
      <c r="M153" s="59">
        <f t="shared" si="2084"/>
        <v>0</v>
      </c>
      <c r="N153" s="59">
        <v>9732</v>
      </c>
      <c r="O153" s="59">
        <v>13532</v>
      </c>
      <c r="P153" s="59">
        <f t="shared" si="2085"/>
        <v>0</v>
      </c>
      <c r="Q153" s="59"/>
      <c r="R153" s="59"/>
      <c r="S153" s="59"/>
      <c r="T153" s="59"/>
      <c r="U153" s="59">
        <v>2678</v>
      </c>
      <c r="V153" s="59">
        <f t="shared" si="2086"/>
        <v>1024.53415135821</v>
      </c>
      <c r="W153" s="59">
        <v>12528.940000000001</v>
      </c>
      <c r="X153" s="62">
        <f t="shared" si="2087"/>
        <v>0.50501692749095495</v>
      </c>
      <c r="Y153" s="62">
        <f t="shared" si="2088"/>
        <v>4.5460613778880798</v>
      </c>
      <c r="Z153" s="62">
        <f t="shared" si="2089"/>
        <v>2.2730306889440399</v>
      </c>
      <c r="AA153" s="59">
        <f t="shared" si="2090"/>
        <v>180.07163909800099</v>
      </c>
      <c r="AB153" s="59">
        <v>7722.8000000000002</v>
      </c>
      <c r="AC153" s="59">
        <f t="shared" si="2091"/>
        <v>97.4333001377465</v>
      </c>
      <c r="AD153" s="59"/>
      <c r="AE153" s="59"/>
      <c r="AF153" s="59">
        <v>27</v>
      </c>
      <c r="AG153" s="59">
        <f t="shared" si="2092"/>
        <v>27</v>
      </c>
      <c r="AH153" s="59">
        <f t="shared" si="2093"/>
        <v>45.519249329758701</v>
      </c>
      <c r="AI153" s="59">
        <v>0.38227159799371901</v>
      </c>
      <c r="AJ153" s="59">
        <f t="shared" si="2094"/>
        <v>0.38227159799371901</v>
      </c>
      <c r="AK153" s="59">
        <f t="shared" si="2095"/>
        <v>26.085029914861</v>
      </c>
      <c r="AL153" s="338"/>
      <c r="AM153" s="59"/>
      <c r="AN153" s="59"/>
      <c r="AO153" s="62"/>
      <c r="AP153" s="62"/>
      <c r="AQ153" s="59"/>
      <c r="AR153" s="59"/>
      <c r="AS153" s="59"/>
      <c r="AT153" s="189">
        <f>VLOOKUP(B:B,综合进度!B:N,13,0)</f>
        <v>5.3462067211037098e-003</v>
      </c>
      <c r="AU153" s="59">
        <f t="shared" si="2096"/>
        <v>31.938132027739101</v>
      </c>
      <c r="AV153" s="59"/>
      <c r="AW153" s="59"/>
      <c r="AX153" s="59">
        <f t="shared" si="2097"/>
        <v>1406</v>
      </c>
      <c r="AY153" s="59">
        <v>1574</v>
      </c>
      <c r="AZ153" s="59">
        <f t="shared" si="2098"/>
        <v>1473.1750132755301</v>
      </c>
      <c r="BA153" s="59">
        <f t="shared" si="2099"/>
        <v>-67.175013275533303</v>
      </c>
      <c r="BB153" s="43">
        <f t="shared" si="1978"/>
        <v>-4.5598800325952399e-002</v>
      </c>
      <c r="BC153" s="50">
        <v>1397</v>
      </c>
      <c r="BD153" s="50">
        <f t="shared" si="2100"/>
        <v>1329.8249867244699</v>
      </c>
      <c r="BG153" s="340"/>
    </row>
    <row r="154" s="5" customFormat="1" ht="17" customHeight="1">
      <c r="A154" s="46">
        <v>104</v>
      </c>
      <c r="B154" s="82" t="s">
        <v>195</v>
      </c>
      <c r="C154" s="46" t="s">
        <v>90</v>
      </c>
      <c r="D154" s="46">
        <v>2018</v>
      </c>
      <c r="E154" s="46"/>
      <c r="F154" s="46" t="s">
        <v>146</v>
      </c>
      <c r="G154" s="73">
        <v>55995</v>
      </c>
      <c r="H154" s="59">
        <f t="shared" si="2075"/>
        <v>44796</v>
      </c>
      <c r="I154" s="59">
        <f t="shared" si="2080"/>
        <v>0</v>
      </c>
      <c r="J154" s="59">
        <f t="shared" si="2081"/>
        <v>0</v>
      </c>
      <c r="K154" s="59">
        <f t="shared" si="2082"/>
        <v>44796</v>
      </c>
      <c r="L154" s="59">
        <f t="shared" si="2083"/>
        <v>0</v>
      </c>
      <c r="M154" s="59">
        <f t="shared" si="2084"/>
        <v>0</v>
      </c>
      <c r="N154" s="59">
        <v>9870</v>
      </c>
      <c r="O154" s="59">
        <v>13630</v>
      </c>
      <c r="P154" s="59">
        <f t="shared" si="2085"/>
        <v>482.39999999999998</v>
      </c>
      <c r="Q154" s="59">
        <v>804</v>
      </c>
      <c r="R154" s="59"/>
      <c r="S154" s="59"/>
      <c r="T154" s="59"/>
      <c r="U154" s="59">
        <v>1706</v>
      </c>
      <c r="V154" s="59">
        <f t="shared" si="2086"/>
        <v>871.47465817444697</v>
      </c>
      <c r="W154" s="59">
        <v>12496.370000000001</v>
      </c>
      <c r="X154" s="62">
        <f t="shared" si="2087"/>
        <v>0.510272679449155</v>
      </c>
      <c r="Y154" s="62">
        <f t="shared" si="2088"/>
        <v>3.3609110031918599</v>
      </c>
      <c r="Z154" s="62">
        <f t="shared" si="2089"/>
        <v>1.6804555015959299</v>
      </c>
      <c r="AA154" s="59">
        <f t="shared" si="2090"/>
        <v>133.127272797275</v>
      </c>
      <c r="AB154" s="59">
        <v>5373.8999999999996</v>
      </c>
      <c r="AC154" s="59">
        <f t="shared" si="2091"/>
        <v>67.798830943470705</v>
      </c>
      <c r="AD154" s="59"/>
      <c r="AE154" s="59"/>
      <c r="AF154" s="59">
        <v>27</v>
      </c>
      <c r="AG154" s="59">
        <f t="shared" si="2092"/>
        <v>27</v>
      </c>
      <c r="AH154" s="59">
        <f t="shared" si="2093"/>
        <v>45.519249329758701</v>
      </c>
      <c r="AI154" s="59">
        <v>0.270096463022508</v>
      </c>
      <c r="AJ154" s="59">
        <f t="shared" si="2094"/>
        <v>0.270096463022508</v>
      </c>
      <c r="AK154" s="59">
        <f t="shared" si="2095"/>
        <v>18.4305461217028</v>
      </c>
      <c r="AL154" s="338"/>
      <c r="AM154" s="59"/>
      <c r="AN154" s="59"/>
      <c r="AO154" s="62"/>
      <c r="AP154" s="62"/>
      <c r="AQ154" s="59"/>
      <c r="AR154" s="59"/>
      <c r="AS154" s="59"/>
      <c r="AT154" s="189">
        <f>VLOOKUP(B:B,综合进度!B:N,13,0)</f>
        <v>5.9925442356187301e-003</v>
      </c>
      <c r="AU154" s="59">
        <f t="shared" si="2096"/>
        <v>35.799339412701499</v>
      </c>
      <c r="AV154" s="59"/>
      <c r="AW154" s="59"/>
      <c r="AX154" s="59">
        <f t="shared" si="2097"/>
        <v>1172</v>
      </c>
      <c r="AY154" s="59">
        <v>1509</v>
      </c>
      <c r="AZ154" s="59">
        <f t="shared" si="2098"/>
        <v>1412.33868807673</v>
      </c>
      <c r="BA154" s="59">
        <f t="shared" si="2099"/>
        <v>-240.338688076734</v>
      </c>
      <c r="BB154" s="43">
        <f t="shared" si="1978"/>
        <v>-0.17017071762299299</v>
      </c>
      <c r="BC154" s="50">
        <v>-46</v>
      </c>
      <c r="BD154" s="50">
        <f t="shared" si="2100"/>
        <v>-286.338688076734</v>
      </c>
      <c r="BG154" s="340"/>
    </row>
    <row r="155" s="5" customFormat="1" ht="17" customHeight="1">
      <c r="A155" s="65"/>
      <c r="B155" s="66" t="s">
        <v>197</v>
      </c>
      <c r="C155" s="67">
        <v>1</v>
      </c>
      <c r="D155" s="67"/>
      <c r="E155" s="67"/>
      <c r="F155" s="68"/>
      <c r="G155" s="69">
        <f>G156+G157</f>
        <v>129655</v>
      </c>
      <c r="H155" s="69">
        <f>H156+H157</f>
        <v>101819.8</v>
      </c>
      <c r="I155" s="69">
        <f t="shared" ref="I155:U155" si="2101">I156+I157</f>
        <v>8140.8000000000002</v>
      </c>
      <c r="J155" s="69">
        <f t="shared" si="2101"/>
        <v>14385</v>
      </c>
      <c r="K155" s="69">
        <f t="shared" si="2101"/>
        <v>53514.400000000001</v>
      </c>
      <c r="L155" s="69">
        <f t="shared" si="2101"/>
        <v>25779.599999999999</v>
      </c>
      <c r="M155" s="69">
        <f t="shared" si="2101"/>
        <v>0</v>
      </c>
      <c r="N155" s="69">
        <f t="shared" si="2101"/>
        <v>32214</v>
      </c>
      <c r="O155" s="69">
        <f t="shared" si="2101"/>
        <v>17938</v>
      </c>
      <c r="P155" s="69">
        <f t="shared" si="2101"/>
        <v>0</v>
      </c>
      <c r="Q155" s="59">
        <v>0</v>
      </c>
      <c r="R155" s="69">
        <f>R156+R157</f>
        <v>0</v>
      </c>
      <c r="S155" s="69">
        <f>S156+S157</f>
        <v>0</v>
      </c>
      <c r="T155" s="69">
        <f>T156+T157</f>
        <v>0</v>
      </c>
      <c r="U155" s="69">
        <f>U156+U157</f>
        <v>3328</v>
      </c>
      <c r="V155" s="69">
        <f>V156+V157</f>
        <v>2416.3049848731198</v>
      </c>
      <c r="W155" s="69"/>
      <c r="X155" s="69">
        <f t="shared" ref="X155:AE155" si="2102">X156+X157</f>
        <v>2.98620788701666</v>
      </c>
      <c r="Y155" s="69">
        <f t="shared" si="2102"/>
        <v>10.1321578500634</v>
      </c>
      <c r="Z155" s="69">
        <f t="shared" si="2102"/>
        <v>8.8334997587872905</v>
      </c>
      <c r="AA155" s="69">
        <f t="shared" si="2102"/>
        <v>699.79819818252497</v>
      </c>
      <c r="AB155" s="69">
        <f t="shared" si="2102"/>
        <v>9089.7428</v>
      </c>
      <c r="AC155" s="69">
        <f t="shared" si="2102"/>
        <v>114.679085099617</v>
      </c>
      <c r="AD155" s="69"/>
      <c r="AE155" s="69"/>
      <c r="AF155" s="69">
        <f t="shared" ref="AF155:AS155" si="2103">AF156+AF157</f>
        <v>62</v>
      </c>
      <c r="AG155" s="59">
        <f t="shared" si="2103"/>
        <v>55</v>
      </c>
      <c r="AH155" s="59">
        <f t="shared" si="2103"/>
        <v>92.724396782841794</v>
      </c>
      <c r="AI155" s="69">
        <f t="shared" si="2103"/>
        <v>2.9473018196108698</v>
      </c>
      <c r="AJ155" s="59">
        <f t="shared" si="2103"/>
        <v>2.8098669059358898</v>
      </c>
      <c r="AK155" s="59">
        <f t="shared" si="2103"/>
        <v>191.73661523061901</v>
      </c>
      <c r="AL155" s="69"/>
      <c r="AM155" s="69"/>
      <c r="AN155" s="69">
        <f t="shared" si="2103"/>
        <v>9000</v>
      </c>
      <c r="AO155" s="69"/>
      <c r="AP155" s="69"/>
      <c r="AQ155" s="69">
        <f t="shared" si="2103"/>
        <v>0</v>
      </c>
      <c r="AR155" s="69"/>
      <c r="AS155" s="69">
        <f t="shared" ref="AS155:AU155" si="2104">AS156+AS157</f>
        <v>0</v>
      </c>
      <c r="AT155" s="403">
        <f t="shared" si="2104"/>
        <v>3.0747729705685699e-002</v>
      </c>
      <c r="AU155" s="69">
        <f t="shared" si="2104"/>
        <v>183.68632230717199</v>
      </c>
      <c r="AV155" s="69"/>
      <c r="AW155" s="71"/>
      <c r="AX155" s="69">
        <f>AX156+AX157</f>
        <v>12699</v>
      </c>
      <c r="AY155" s="69">
        <v>11478</v>
      </c>
      <c r="AZ155" s="69">
        <f>AZ156+AZ157</f>
        <v>10742.7590866433</v>
      </c>
      <c r="BA155" s="69">
        <f>BA156+BA157</f>
        <v>1956.24091335669</v>
      </c>
      <c r="BB155" s="336">
        <f t="shared" si="1978"/>
        <v>0.18209855564842001</v>
      </c>
      <c r="BC155" s="404">
        <v>-21061</v>
      </c>
      <c r="BD155" s="69">
        <f>BD156+BD157</f>
        <v>-19123.759086643298</v>
      </c>
      <c r="BG155" s="340"/>
    </row>
    <row r="156" s="5" customFormat="1" ht="17" customHeight="1">
      <c r="A156" s="44"/>
      <c r="B156" s="72" t="s">
        <v>198</v>
      </c>
      <c r="C156" s="46">
        <v>2</v>
      </c>
      <c r="D156" s="46"/>
      <c r="E156" s="46"/>
      <c r="F156" s="46"/>
      <c r="G156" s="73"/>
      <c r="H156" s="59">
        <f t="shared" ref="H156:H162" si="2105">SUM(I156:M156)</f>
        <v>0</v>
      </c>
      <c r="I156" s="59">
        <f t="shared" si="2080"/>
        <v>0</v>
      </c>
      <c r="J156" s="59">
        <f t="shared" si="2081"/>
        <v>0</v>
      </c>
      <c r="K156" s="59">
        <f t="shared" si="2082"/>
        <v>0</v>
      </c>
      <c r="L156" s="59">
        <f t="shared" si="2083"/>
        <v>0</v>
      </c>
      <c r="M156" s="59">
        <f t="shared" si="2084"/>
        <v>0</v>
      </c>
      <c r="N156" s="59"/>
      <c r="O156" s="59"/>
      <c r="P156" s="59">
        <f>L156*0.4+M156*0.6+N156*0.8+O156*1</f>
        <v>0</v>
      </c>
      <c r="Q156" s="59"/>
      <c r="R156" s="59"/>
      <c r="S156" s="59"/>
      <c r="T156" s="59"/>
      <c r="U156" s="59"/>
      <c r="V156" s="59">
        <f>H156/$H$9*134866+N156/$N$9*202299+P156/$P$9*100000+U156/$U$9*34867</f>
        <v>0</v>
      </c>
      <c r="W156" s="59"/>
      <c r="X156" s="62"/>
      <c r="Y156" s="62"/>
      <c r="Z156" s="62"/>
      <c r="AA156" s="59"/>
      <c r="AB156" s="59"/>
      <c r="AC156" s="59"/>
      <c r="AD156" s="59"/>
      <c r="AE156" s="59"/>
      <c r="AF156" s="59"/>
      <c r="AG156" s="59">
        <f t="shared" si="2092"/>
        <v>0</v>
      </c>
      <c r="AH156" s="59">
        <f>AG156/$AG$9*40459.89</f>
        <v>0</v>
      </c>
      <c r="AI156" s="59"/>
      <c r="AJ156" s="59">
        <f t="shared" si="2094"/>
        <v>0</v>
      </c>
      <c r="AK156" s="59">
        <f>AJ156/$AJ$9*40459.89</f>
        <v>0</v>
      </c>
      <c r="AL156" s="59"/>
      <c r="AM156" s="59"/>
      <c r="AN156" s="59"/>
      <c r="AO156" s="62"/>
      <c r="AP156" s="62"/>
      <c r="AQ156" s="59"/>
      <c r="AR156" s="59"/>
      <c r="AS156" s="59"/>
      <c r="AT156" s="189"/>
      <c r="AU156" s="59"/>
      <c r="AV156" s="59"/>
      <c r="AW156" s="59"/>
      <c r="AX156" s="59">
        <f>V156+AA156+AC156+AE156+AH156+AK156+AM156+AN156+AQ156+AS156+AU156+AW156</f>
        <v>0</v>
      </c>
      <c r="AY156" s="59"/>
      <c r="AZ156" s="170"/>
      <c r="BA156" s="50"/>
      <c r="BB156" s="43"/>
      <c r="BC156" s="50">
        <v>19</v>
      </c>
      <c r="BD156" s="50"/>
      <c r="BG156" s="340"/>
    </row>
    <row r="157" s="5" customFormat="1" ht="17" customHeight="1">
      <c r="A157" s="75"/>
      <c r="B157" s="76" t="s">
        <v>76</v>
      </c>
      <c r="C157" s="77">
        <v>3</v>
      </c>
      <c r="D157" s="77"/>
      <c r="E157" s="77"/>
      <c r="F157" s="78"/>
      <c r="G157" s="79">
        <f>SUM(G158:G162)</f>
        <v>129655</v>
      </c>
      <c r="H157" s="79">
        <f>SUM(H158:H162)</f>
        <v>101819.8</v>
      </c>
      <c r="I157" s="79">
        <f t="shared" ref="I157:U157" si="2106">SUM(I158:I162)</f>
        <v>8140.8000000000002</v>
      </c>
      <c r="J157" s="79">
        <f t="shared" si="2106"/>
        <v>14385</v>
      </c>
      <c r="K157" s="79">
        <f t="shared" si="2106"/>
        <v>53514.400000000001</v>
      </c>
      <c r="L157" s="79">
        <f t="shared" si="2106"/>
        <v>25779.599999999999</v>
      </c>
      <c r="M157" s="79">
        <f t="shared" si="2106"/>
        <v>0</v>
      </c>
      <c r="N157" s="79">
        <f t="shared" si="2106"/>
        <v>32214</v>
      </c>
      <c r="O157" s="79">
        <f t="shared" si="2106"/>
        <v>17938</v>
      </c>
      <c r="P157" s="79">
        <f t="shared" si="2106"/>
        <v>0</v>
      </c>
      <c r="Q157" s="59">
        <v>0</v>
      </c>
      <c r="R157" s="79">
        <f>SUM(R158:R162)</f>
        <v>0</v>
      </c>
      <c r="S157" s="79">
        <f>SUM(S158:S162)</f>
        <v>0</v>
      </c>
      <c r="T157" s="79">
        <f>SUM(T158:T162)</f>
        <v>0</v>
      </c>
      <c r="U157" s="79">
        <f>SUM(U158:U162)</f>
        <v>3328</v>
      </c>
      <c r="V157" s="79">
        <f>SUM(V158:V162)</f>
        <v>2416.3049848731198</v>
      </c>
      <c r="W157" s="79"/>
      <c r="X157" s="79">
        <f t="shared" ref="X157:AE157" si="2107">SUM(X158:X162)</f>
        <v>2.98620788701666</v>
      </c>
      <c r="Y157" s="79">
        <f t="shared" si="2107"/>
        <v>10.1321578500634</v>
      </c>
      <c r="Z157" s="79">
        <f t="shared" si="2107"/>
        <v>8.8334997587872905</v>
      </c>
      <c r="AA157" s="79">
        <f t="shared" si="2107"/>
        <v>699.79819818252497</v>
      </c>
      <c r="AB157" s="79">
        <f t="shared" si="2107"/>
        <v>9089.7428</v>
      </c>
      <c r="AC157" s="79">
        <f t="shared" si="2107"/>
        <v>114.679085099617</v>
      </c>
      <c r="AD157" s="79"/>
      <c r="AE157" s="79"/>
      <c r="AF157" s="79">
        <f t="shared" ref="AF157:AS157" si="2108">SUM(AF158:AF162)</f>
        <v>62</v>
      </c>
      <c r="AG157" s="59">
        <f t="shared" si="2108"/>
        <v>55</v>
      </c>
      <c r="AH157" s="59">
        <f t="shared" si="2108"/>
        <v>92.724396782841794</v>
      </c>
      <c r="AI157" s="79">
        <f t="shared" si="2108"/>
        <v>2.9473018196108698</v>
      </c>
      <c r="AJ157" s="59">
        <f t="shared" si="2108"/>
        <v>2.8098669059358898</v>
      </c>
      <c r="AK157" s="59">
        <f t="shared" si="2108"/>
        <v>191.73661523061901</v>
      </c>
      <c r="AL157" s="79"/>
      <c r="AM157" s="79"/>
      <c r="AN157" s="79">
        <f t="shared" si="2108"/>
        <v>9000</v>
      </c>
      <c r="AO157" s="79"/>
      <c r="AP157" s="79"/>
      <c r="AQ157" s="79">
        <f t="shared" si="2108"/>
        <v>0</v>
      </c>
      <c r="AR157" s="79"/>
      <c r="AS157" s="79">
        <f t="shared" ref="AS157:AU157" si="2109">SUM(AS158:AS162)</f>
        <v>0</v>
      </c>
      <c r="AT157" s="405">
        <f t="shared" si="2109"/>
        <v>3.0747729705685699e-002</v>
      </c>
      <c r="AU157" s="79">
        <f t="shared" si="2109"/>
        <v>183.68632230717199</v>
      </c>
      <c r="AV157" s="79"/>
      <c r="AW157" s="81"/>
      <c r="AX157" s="79">
        <f>SUM(AX158:AX162)</f>
        <v>12699</v>
      </c>
      <c r="AY157" s="79">
        <v>11478</v>
      </c>
      <c r="AZ157" s="79">
        <f>SUM(AZ158:AZ162)</f>
        <v>10742.7590866433</v>
      </c>
      <c r="BA157" s="79">
        <f>SUM(BA158:BA162)</f>
        <v>1956.24091335669</v>
      </c>
      <c r="BB157" s="337">
        <f t="shared" si="1978"/>
        <v>0.18209855564842001</v>
      </c>
      <c r="BC157" s="406">
        <v>-21080</v>
      </c>
      <c r="BD157" s="79">
        <f>SUM(BD158:BD162)</f>
        <v>-19123.759086643298</v>
      </c>
      <c r="BG157" s="340"/>
    </row>
    <row r="158" ht="17" customHeight="1">
      <c r="A158" s="46">
        <v>105</v>
      </c>
      <c r="B158" s="82" t="s">
        <v>200</v>
      </c>
      <c r="C158" s="46" t="s">
        <v>90</v>
      </c>
      <c r="D158" s="46">
        <v>2017</v>
      </c>
      <c r="E158" s="46"/>
      <c r="F158" s="46" t="s">
        <v>146</v>
      </c>
      <c r="G158" s="73">
        <v>20550</v>
      </c>
      <c r="H158" s="59">
        <f t="shared" si="2105"/>
        <v>14385</v>
      </c>
      <c r="I158" s="59">
        <f t="shared" si="2080"/>
        <v>0</v>
      </c>
      <c r="J158" s="59">
        <f t="shared" si="2081"/>
        <v>14385</v>
      </c>
      <c r="K158" s="59">
        <f t="shared" si="2082"/>
        <v>0</v>
      </c>
      <c r="L158" s="59">
        <f t="shared" si="2083"/>
        <v>0</v>
      </c>
      <c r="M158" s="59">
        <f t="shared" si="2084"/>
        <v>0</v>
      </c>
      <c r="N158" s="59">
        <v>4269</v>
      </c>
      <c r="O158" s="59">
        <v>4796</v>
      </c>
      <c r="P158" s="59">
        <f t="shared" ref="P158:P162" si="2110">Q158*0.6+R158*0.8+S158*1+T158*1.25</f>
        <v>0</v>
      </c>
      <c r="Q158" s="59"/>
      <c r="R158" s="59"/>
      <c r="S158" s="59"/>
      <c r="T158" s="59"/>
      <c r="U158" s="59">
        <v>1040</v>
      </c>
      <c r="V158" s="59">
        <f t="shared" ref="V158:V162" si="2111">H158/$H$9*298699*0.12+N158/$N$9*298699*0.15+P158/$P$9*298699*0.035+U158/$U$9*298699*0.025</f>
        <v>356.13038718291898</v>
      </c>
      <c r="W158" s="59">
        <v>12489.9</v>
      </c>
      <c r="X158" s="62">
        <f t="shared" ref="X158:X162" si="2112">($W$64-W158)/($W$64-$W$44)</f>
        <v>0.51131672965393105</v>
      </c>
      <c r="Y158" s="62">
        <f t="shared" ref="Y158:Y162" si="2113">(G158+N158)*X158/10000</f>
        <v>1.2690369913280899</v>
      </c>
      <c r="Z158" s="62">
        <f>Y158*0.5</f>
        <v>0.63451849566404495</v>
      </c>
      <c r="AA158" s="59">
        <f t="shared" ref="AA158:AA162" si="2114">Z158/$Z$9*298699*0.12</f>
        <v>50.267154820202798</v>
      </c>
      <c r="AB158" s="59">
        <v>635.79999999999995</v>
      </c>
      <c r="AC158" s="59">
        <f t="shared" ref="AC158:AC162" si="2115">(AB158/$AB$9*298699*0.03)</f>
        <v>8.0214549421944401</v>
      </c>
      <c r="AD158" s="59"/>
      <c r="AE158" s="59"/>
      <c r="AF158" s="59">
        <v>15</v>
      </c>
      <c r="AG158" s="59">
        <f t="shared" si="2092"/>
        <v>15</v>
      </c>
      <c r="AH158" s="59">
        <f t="shared" ref="AH158:AH162" si="2116">AG158/$AG$9*298699*0.02</f>
        <v>25.2884718498659</v>
      </c>
      <c r="AI158" s="59">
        <v>0.73562284088599905</v>
      </c>
      <c r="AJ158" s="59">
        <f t="shared" si="2094"/>
        <v>0.73562284088599905</v>
      </c>
      <c r="AK158" s="59">
        <f t="shared" ref="AK158:AK162" si="2117">AJ158/$AJ$9*298699*0.02</f>
        <v>50.196624366745603</v>
      </c>
      <c r="AL158" s="338"/>
      <c r="AM158" s="59"/>
      <c r="AN158" s="59"/>
      <c r="AO158" s="62"/>
      <c r="AP158" s="62"/>
      <c r="AQ158" s="59"/>
      <c r="AR158" s="59"/>
      <c r="AS158" s="59"/>
      <c r="AT158" s="189">
        <f>VLOOKUP(B:B,综合进度!B:N,13,0)</f>
        <v>4.1985181854656203e-003</v>
      </c>
      <c r="AU158" s="59">
        <f t="shared" ref="AU158:AU162" si="2118">AT158/$AT$9*298699*0.02</f>
        <v>25.081863669607898</v>
      </c>
      <c r="AV158" s="59"/>
      <c r="AW158" s="59"/>
      <c r="AX158" s="59">
        <f t="shared" ref="AX158:AX162" si="2119">ROUND(V158+AA158+AC158+AN158+AQ158+AS158+AU158+AW158+AH158+AK158,0)</f>
        <v>515</v>
      </c>
      <c r="AY158" s="59">
        <v>1357</v>
      </c>
      <c r="AZ158" s="59">
        <f t="shared" ref="AZ158:AZ162" si="2120">AY158/$AY$9*280243</f>
        <v>1270.0752814580001</v>
      </c>
      <c r="BA158" s="59">
        <f t="shared" ref="BA158:BA162" si="2121">AX158-AZ158</f>
        <v>-755.07528145800404</v>
      </c>
      <c r="BB158" s="43">
        <f t="shared" si="1978"/>
        <v>-0.59451222496921796</v>
      </c>
      <c r="BC158" s="50">
        <v>-1622</v>
      </c>
      <c r="BD158" s="50">
        <f t="shared" ref="BD158:BD162" si="2122">BC158+BA158</f>
        <v>-2377.0752814580001</v>
      </c>
      <c r="BG158" s="340"/>
    </row>
    <row r="159" ht="17" customHeight="1">
      <c r="A159" s="46">
        <v>106</v>
      </c>
      <c r="B159" s="82" t="s">
        <v>201</v>
      </c>
      <c r="C159" s="46" t="s">
        <v>90</v>
      </c>
      <c r="D159" s="46">
        <v>2019</v>
      </c>
      <c r="E159" s="46" t="s">
        <v>91</v>
      </c>
      <c r="F159" s="46"/>
      <c r="G159" s="73">
        <v>28644</v>
      </c>
      <c r="H159" s="59">
        <f t="shared" si="2105"/>
        <v>25779.599999999999</v>
      </c>
      <c r="I159" s="59">
        <f t="shared" si="2080"/>
        <v>0</v>
      </c>
      <c r="J159" s="59">
        <f t="shared" si="2081"/>
        <v>0</v>
      </c>
      <c r="K159" s="59">
        <f t="shared" si="2082"/>
        <v>0</v>
      </c>
      <c r="L159" s="59">
        <f t="shared" si="2083"/>
        <v>25779.599999999999</v>
      </c>
      <c r="M159" s="59">
        <f t="shared" si="2084"/>
        <v>0</v>
      </c>
      <c r="N159" s="59">
        <v>7865</v>
      </c>
      <c r="O159" s="59">
        <v>3702</v>
      </c>
      <c r="P159" s="59">
        <f t="shared" si="2110"/>
        <v>0</v>
      </c>
      <c r="Q159" s="59"/>
      <c r="R159" s="59"/>
      <c r="S159" s="59"/>
      <c r="T159" s="59"/>
      <c r="U159" s="59">
        <v>997</v>
      </c>
      <c r="V159" s="59">
        <f t="shared" si="2111"/>
        <v>605.04984238756299</v>
      </c>
      <c r="W159" s="59">
        <v>11483.950000000001</v>
      </c>
      <c r="X159" s="62">
        <f t="shared" si="2112"/>
        <v>0.67364475183233197</v>
      </c>
      <c r="Y159" s="62">
        <f t="shared" si="2113"/>
        <v>2.4594096244646599</v>
      </c>
      <c r="Z159" s="62">
        <f t="shared" ref="Z159:Z161" si="2123">Y159*1</f>
        <v>2.4594096244646599</v>
      </c>
      <c r="AA159" s="59">
        <f t="shared" si="2114"/>
        <v>194.83675449031901</v>
      </c>
      <c r="AB159" s="59">
        <v>2323.3000000000002</v>
      </c>
      <c r="AC159" s="59">
        <f t="shared" si="2115"/>
        <v>29.311491455175101</v>
      </c>
      <c r="AD159" s="59"/>
      <c r="AE159" s="59"/>
      <c r="AF159" s="59">
        <v>17</v>
      </c>
      <c r="AG159" s="59">
        <f t="shared" si="2092"/>
        <v>17</v>
      </c>
      <c r="AH159" s="59">
        <f t="shared" si="2116"/>
        <v>28.660268096514699</v>
      </c>
      <c r="AI159" s="59">
        <v>0.80865139949109399</v>
      </c>
      <c r="AJ159" s="59">
        <f t="shared" si="2094"/>
        <v>0.80865139949109399</v>
      </c>
      <c r="AK159" s="59">
        <f t="shared" si="2117"/>
        <v>55.179867029425402</v>
      </c>
      <c r="AL159" s="338"/>
      <c r="AM159" s="59"/>
      <c r="AN159" s="59">
        <v>3000</v>
      </c>
      <c r="AO159" s="62"/>
      <c r="AP159" s="62"/>
      <c r="AQ159" s="59"/>
      <c r="AR159" s="59"/>
      <c r="AS159" s="59"/>
      <c r="AT159" s="189">
        <f>VLOOKUP(B:B,综合进度!B:N,13,0)</f>
        <v>6.2509454260602703e-003</v>
      </c>
      <c r="AU159" s="59">
        <f t="shared" si="2118"/>
        <v>37.343022956375499</v>
      </c>
      <c r="AV159" s="59"/>
      <c r="AW159" s="59"/>
      <c r="AX159" s="59">
        <f t="shared" si="2119"/>
        <v>3950</v>
      </c>
      <c r="AY159" s="59">
        <v>1735</v>
      </c>
      <c r="AZ159" s="59">
        <f t="shared" si="2120"/>
        <v>1623.8619110756399</v>
      </c>
      <c r="BA159" s="59">
        <f t="shared" si="2121"/>
        <v>2326.1380889243601</v>
      </c>
      <c r="BB159" s="43">
        <f t="shared" si="1978"/>
        <v>1.43247284332419</v>
      </c>
      <c r="BC159" s="50">
        <v>-2253</v>
      </c>
      <c r="BD159" s="50">
        <f t="shared" si="2122"/>
        <v>73.138088924364595</v>
      </c>
      <c r="BG159" s="340"/>
    </row>
    <row r="160" ht="17" customHeight="1">
      <c r="A160" s="46">
        <v>107</v>
      </c>
      <c r="B160" s="82" t="s">
        <v>202</v>
      </c>
      <c r="C160" s="46" t="s">
        <v>90</v>
      </c>
      <c r="D160" s="46">
        <v>2018</v>
      </c>
      <c r="E160" s="46" t="s">
        <v>91</v>
      </c>
      <c r="F160" s="46" t="s">
        <v>146</v>
      </c>
      <c r="G160" s="73">
        <v>38110</v>
      </c>
      <c r="H160" s="59">
        <f t="shared" si="2105"/>
        <v>30488</v>
      </c>
      <c r="I160" s="59">
        <f t="shared" si="2080"/>
        <v>0</v>
      </c>
      <c r="J160" s="59">
        <f t="shared" si="2081"/>
        <v>0</v>
      </c>
      <c r="K160" s="59">
        <f t="shared" si="2082"/>
        <v>30488</v>
      </c>
      <c r="L160" s="59">
        <f t="shared" si="2083"/>
        <v>0</v>
      </c>
      <c r="M160" s="59">
        <f t="shared" si="2084"/>
        <v>0</v>
      </c>
      <c r="N160" s="59">
        <v>8586</v>
      </c>
      <c r="O160" s="59">
        <v>3888</v>
      </c>
      <c r="P160" s="59">
        <f t="shared" si="2110"/>
        <v>0</v>
      </c>
      <c r="Q160" s="59"/>
      <c r="R160" s="59"/>
      <c r="S160" s="59"/>
      <c r="T160" s="59"/>
      <c r="U160" s="59">
        <v>645</v>
      </c>
      <c r="V160" s="59">
        <f t="shared" si="2111"/>
        <v>652.76945006075596</v>
      </c>
      <c r="W160" s="59">
        <v>11336.540000000001</v>
      </c>
      <c r="X160" s="62">
        <f t="shared" si="2112"/>
        <v>0.69743199150559498</v>
      </c>
      <c r="Y160" s="62">
        <f t="shared" si="2113"/>
        <v>3.2567284275345201</v>
      </c>
      <c r="Z160" s="62">
        <f t="shared" si="2123"/>
        <v>3.2567284275345201</v>
      </c>
      <c r="AA160" s="59">
        <f t="shared" si="2114"/>
        <v>258.00110350275799</v>
      </c>
      <c r="AB160" s="59">
        <v>4263.1999999999998</v>
      </c>
      <c r="AC160" s="59">
        <f t="shared" si="2115"/>
        <v>53.785886614600997</v>
      </c>
      <c r="AD160" s="59"/>
      <c r="AE160" s="59"/>
      <c r="AF160" s="59">
        <v>10</v>
      </c>
      <c r="AG160" s="59">
        <f t="shared" si="2092"/>
        <v>10</v>
      </c>
      <c r="AH160" s="59">
        <f t="shared" si="2116"/>
        <v>16.858981233243998</v>
      </c>
      <c r="AI160" s="59">
        <v>0.27815040650406497</v>
      </c>
      <c r="AJ160" s="59">
        <f t="shared" si="2094"/>
        <v>0.27815040650406497</v>
      </c>
      <c r="AK160" s="59">
        <f t="shared" si="2117"/>
        <v>18.980122281039801</v>
      </c>
      <c r="AL160" s="338"/>
      <c r="AM160" s="59"/>
      <c r="AN160" s="59">
        <v>3000</v>
      </c>
      <c r="AO160" s="62"/>
      <c r="AP160" s="62"/>
      <c r="AQ160" s="59"/>
      <c r="AR160" s="59"/>
      <c r="AS160" s="59"/>
      <c r="AT160" s="189">
        <f>VLOOKUP(B:B,综合进度!B:N,13,0)</f>
        <v>8.9979229828752502e-003</v>
      </c>
      <c r="AU160" s="59">
        <f t="shared" si="2118"/>
        <v>53.753411941237097</v>
      </c>
      <c r="AV160" s="59"/>
      <c r="AW160" s="59"/>
      <c r="AX160" s="59">
        <f t="shared" si="2119"/>
        <v>4054</v>
      </c>
      <c r="AY160" s="59">
        <v>3571</v>
      </c>
      <c r="AZ160" s="59">
        <f t="shared" si="2120"/>
        <v>3342.25411207556</v>
      </c>
      <c r="BA160" s="59">
        <f t="shared" si="2121"/>
        <v>711.74588792444104</v>
      </c>
      <c r="BB160" s="43">
        <f t="shared" si="1978"/>
        <v>0.21295385211821699</v>
      </c>
      <c r="BC160" s="50">
        <v>-7251</v>
      </c>
      <c r="BD160" s="50">
        <f t="shared" si="2122"/>
        <v>-6539.2541120755604</v>
      </c>
      <c r="BG160" s="340"/>
    </row>
    <row r="161" ht="17" customHeight="1">
      <c r="A161" s="46">
        <v>108</v>
      </c>
      <c r="B161" s="82" t="s">
        <v>203</v>
      </c>
      <c r="C161" s="46" t="s">
        <v>90</v>
      </c>
      <c r="D161" s="46">
        <v>2018</v>
      </c>
      <c r="E161" s="46" t="s">
        <v>91</v>
      </c>
      <c r="F161" s="46" t="s">
        <v>146</v>
      </c>
      <c r="G161" s="73">
        <v>28783</v>
      </c>
      <c r="H161" s="59">
        <f t="shared" si="2105"/>
        <v>23026.400000000001</v>
      </c>
      <c r="I161" s="59">
        <f t="shared" si="2080"/>
        <v>0</v>
      </c>
      <c r="J161" s="59">
        <f t="shared" si="2081"/>
        <v>0</v>
      </c>
      <c r="K161" s="59">
        <f t="shared" si="2082"/>
        <v>23026.400000000001</v>
      </c>
      <c r="L161" s="59">
        <f t="shared" si="2083"/>
        <v>0</v>
      </c>
      <c r="M161" s="59">
        <f t="shared" si="2084"/>
        <v>0</v>
      </c>
      <c r="N161" s="59">
        <v>6488</v>
      </c>
      <c r="O161" s="59">
        <v>5025</v>
      </c>
      <c r="P161" s="59">
        <f t="shared" si="2110"/>
        <v>0</v>
      </c>
      <c r="Q161" s="59"/>
      <c r="R161" s="59"/>
      <c r="S161" s="59"/>
      <c r="T161" s="59"/>
      <c r="U161" s="59">
        <v>644</v>
      </c>
      <c r="V161" s="59">
        <f t="shared" si="2111"/>
        <v>501.12015530408098</v>
      </c>
      <c r="W161" s="59">
        <v>11587.969999999999</v>
      </c>
      <c r="X161" s="62">
        <f t="shared" si="2112"/>
        <v>0.65685926461428301</v>
      </c>
      <c r="Y161" s="62">
        <f t="shared" si="2113"/>
        <v>2.3168083122210401</v>
      </c>
      <c r="Z161" s="62">
        <f t="shared" si="2123"/>
        <v>2.3168083122210401</v>
      </c>
      <c r="AA161" s="59">
        <f t="shared" si="2114"/>
        <v>183.53974378204501</v>
      </c>
      <c r="AB161" s="59">
        <v>1368.1772000000001</v>
      </c>
      <c r="AC161" s="59">
        <f t="shared" si="2115"/>
        <v>17.2613585447275</v>
      </c>
      <c r="AD161" s="59"/>
      <c r="AE161" s="59"/>
      <c r="AF161" s="59">
        <v>6</v>
      </c>
      <c r="AG161" s="59">
        <f t="shared" si="2092"/>
        <v>6</v>
      </c>
      <c r="AH161" s="59">
        <f t="shared" si="2116"/>
        <v>10.1153887399464</v>
      </c>
      <c r="AI161" s="59">
        <v>0.85000734537975597</v>
      </c>
      <c r="AJ161" s="59">
        <f t="shared" si="2094"/>
        <v>0.85000734537975597</v>
      </c>
      <c r="AK161" s="59">
        <f t="shared" si="2117"/>
        <v>58.001868693490501</v>
      </c>
      <c r="AL161" s="338"/>
      <c r="AM161" s="59"/>
      <c r="AN161" s="59">
        <v>3000</v>
      </c>
      <c r="AO161" s="62"/>
      <c r="AP161" s="62"/>
      <c r="AQ161" s="59"/>
      <c r="AR161" s="59"/>
      <c r="AS161" s="59"/>
      <c r="AT161" s="189">
        <f>VLOOKUP(B:B,综合进度!B:N,13,0)</f>
        <v>6.62742838112035e-003</v>
      </c>
      <c r="AU161" s="59">
        <f t="shared" si="2118"/>
        <v>39.592124600245299</v>
      </c>
      <c r="AV161" s="59"/>
      <c r="AW161" s="59"/>
      <c r="AX161" s="59">
        <f t="shared" si="2119"/>
        <v>3810</v>
      </c>
      <c r="AY161" s="59">
        <v>1010</v>
      </c>
      <c r="AZ161" s="59">
        <f t="shared" si="2120"/>
        <v>945.30289924287695</v>
      </c>
      <c r="BA161" s="59">
        <f t="shared" si="2121"/>
        <v>2864.6971007571201</v>
      </c>
      <c r="BB161" s="43">
        <f t="shared" si="1978"/>
        <v>3.0304541571294799</v>
      </c>
      <c r="BC161" s="50">
        <v>-3959</v>
      </c>
      <c r="BD161" s="50">
        <f t="shared" si="2122"/>
        <v>-1094.3028992428799</v>
      </c>
      <c r="BG161" s="340"/>
    </row>
    <row r="162" ht="17" customHeight="1">
      <c r="A162" s="46">
        <v>109</v>
      </c>
      <c r="B162" s="82" t="s">
        <v>199</v>
      </c>
      <c r="C162" s="46" t="s">
        <v>78</v>
      </c>
      <c r="D162" s="46"/>
      <c r="E162" s="46"/>
      <c r="F162" s="46" t="s">
        <v>146</v>
      </c>
      <c r="G162" s="73">
        <v>13568</v>
      </c>
      <c r="H162" s="59">
        <f t="shared" si="2105"/>
        <v>8140.8000000000002</v>
      </c>
      <c r="I162" s="59">
        <f t="shared" si="2080"/>
        <v>8140.8000000000002</v>
      </c>
      <c r="J162" s="59">
        <f t="shared" si="2081"/>
        <v>0</v>
      </c>
      <c r="K162" s="59">
        <f t="shared" si="2082"/>
        <v>0</v>
      </c>
      <c r="L162" s="59">
        <f t="shared" si="2083"/>
        <v>0</v>
      </c>
      <c r="M162" s="59">
        <f t="shared" si="2084"/>
        <v>0</v>
      </c>
      <c r="N162" s="59">
        <v>5006</v>
      </c>
      <c r="O162" s="59">
        <v>527</v>
      </c>
      <c r="P162" s="59">
        <f t="shared" si="2110"/>
        <v>0</v>
      </c>
      <c r="Q162" s="59"/>
      <c r="R162" s="59"/>
      <c r="S162" s="59"/>
      <c r="T162" s="59"/>
      <c r="U162" s="59">
        <v>2</v>
      </c>
      <c r="V162" s="59">
        <f t="shared" si="2111"/>
        <v>301.23514993780498</v>
      </c>
      <c r="W162" s="59">
        <v>12888.75</v>
      </c>
      <c r="X162" s="62">
        <f t="shared" si="2112"/>
        <v>0.446955149410523</v>
      </c>
      <c r="Y162" s="62">
        <f t="shared" si="2113"/>
        <v>0.83017449451510605</v>
      </c>
      <c r="Z162" s="62">
        <f>Y162*0.2</f>
        <v>0.16603489890302101</v>
      </c>
      <c r="AA162" s="59">
        <f t="shared" si="2114"/>
        <v>13.153441587199801</v>
      </c>
      <c r="AB162" s="59">
        <v>499.26560000000001</v>
      </c>
      <c r="AC162" s="59">
        <f t="shared" si="2115"/>
        <v>6.2988935429186403</v>
      </c>
      <c r="AD162" s="59"/>
      <c r="AE162" s="59"/>
      <c r="AF162" s="59">
        <v>14</v>
      </c>
      <c r="AG162" s="59">
        <f>AF162*0.5</f>
        <v>7</v>
      </c>
      <c r="AH162" s="59">
        <f t="shared" si="2116"/>
        <v>11.8012868632708</v>
      </c>
      <c r="AI162" s="59">
        <v>0.27486982734995902</v>
      </c>
      <c r="AJ162" s="59">
        <f>AI162*0.5</f>
        <v>0.13743491367498001</v>
      </c>
      <c r="AK162" s="59">
        <f t="shared" si="2117"/>
        <v>9.3781328599177698</v>
      </c>
      <c r="AL162" s="338"/>
      <c r="AM162" s="59"/>
      <c r="AN162" s="59"/>
      <c r="AO162" s="62"/>
      <c r="AP162" s="62"/>
      <c r="AQ162" s="59"/>
      <c r="AR162" s="59"/>
      <c r="AS162" s="59"/>
      <c r="AT162" s="189">
        <f>VLOOKUP(B:B,综合进度!B:N,13,0)</f>
        <v>4.67291473016426e-003</v>
      </c>
      <c r="AU162" s="59">
        <f t="shared" si="2118"/>
        <v>27.915899139706699</v>
      </c>
      <c r="AV162" s="59"/>
      <c r="AW162" s="59"/>
      <c r="AX162" s="59">
        <f t="shared" si="2119"/>
        <v>370</v>
      </c>
      <c r="AY162" s="59">
        <v>3805</v>
      </c>
      <c r="AZ162" s="59">
        <f t="shared" si="2120"/>
        <v>3561.2648827912299</v>
      </c>
      <c r="BA162" s="59">
        <f t="shared" si="2121"/>
        <v>-3191.2648827912299</v>
      </c>
      <c r="BB162" s="43">
        <f t="shared" si="1978"/>
        <v>-0.89610433029345404</v>
      </c>
      <c r="BC162" s="50">
        <v>-5995</v>
      </c>
      <c r="BD162" s="50">
        <f t="shared" si="2122"/>
        <v>-9186.2648827912308</v>
      </c>
      <c r="BG162" s="340"/>
    </row>
    <row r="163" s="5" customFormat="1" ht="17" customHeight="1">
      <c r="A163" s="65"/>
      <c r="B163" s="66" t="s">
        <v>204</v>
      </c>
      <c r="C163" s="67">
        <v>1</v>
      </c>
      <c r="D163" s="67"/>
      <c r="E163" s="67"/>
      <c r="F163" s="68"/>
      <c r="G163" s="69">
        <f>G164+G165</f>
        <v>163512</v>
      </c>
      <c r="H163" s="69">
        <f>H164+H165</f>
        <v>146456.10000000001</v>
      </c>
      <c r="I163" s="69">
        <f t="shared" ref="I163:U163" si="2124">I164+I165</f>
        <v>10342.799999999999</v>
      </c>
      <c r="J163" s="69">
        <f t="shared" si="2124"/>
        <v>10215.1</v>
      </c>
      <c r="K163" s="69">
        <f t="shared" si="2124"/>
        <v>0</v>
      </c>
      <c r="L163" s="69">
        <f t="shared" si="2124"/>
        <v>52045.199999999997</v>
      </c>
      <c r="M163" s="69">
        <f t="shared" si="2124"/>
        <v>73853</v>
      </c>
      <c r="N163" s="69">
        <f t="shared" si="2124"/>
        <v>29428</v>
      </c>
      <c r="O163" s="69">
        <f t="shared" si="2124"/>
        <v>24965</v>
      </c>
      <c r="P163" s="69">
        <f t="shared" si="2124"/>
        <v>12523.799999999999</v>
      </c>
      <c r="Q163" s="59">
        <v>1253</v>
      </c>
      <c r="R163" s="69">
        <f>R164+R165</f>
        <v>0</v>
      </c>
      <c r="S163" s="69">
        <f>S164+S165</f>
        <v>11772</v>
      </c>
      <c r="T163" s="69">
        <f>T164+T165</f>
        <v>0</v>
      </c>
      <c r="U163" s="69">
        <f>U164+U165</f>
        <v>3900</v>
      </c>
      <c r="V163" s="69">
        <f>V164+V165</f>
        <v>2874.6004720553301</v>
      </c>
      <c r="W163" s="69"/>
      <c r="X163" s="69">
        <f t="shared" ref="X163:AE163" si="2125">X164+X165</f>
        <v>2.6559943327599398</v>
      </c>
      <c r="Y163" s="69">
        <f t="shared" si="2125"/>
        <v>12.5165837584839</v>
      </c>
      <c r="Z163" s="69">
        <f t="shared" si="2125"/>
        <v>10.898324912716101</v>
      </c>
      <c r="AA163" s="69">
        <f t="shared" si="2125"/>
        <v>863.37559805101398</v>
      </c>
      <c r="AB163" s="69">
        <f t="shared" si="2125"/>
        <v>19392.9797</v>
      </c>
      <c r="AC163" s="69">
        <f t="shared" si="2125"/>
        <v>244.66799757540301</v>
      </c>
      <c r="AD163" s="69"/>
      <c r="AE163" s="69"/>
      <c r="AF163" s="69">
        <f t="shared" ref="AF163:AS163" si="2126">AF164+AF165</f>
        <v>124</v>
      </c>
      <c r="AG163" s="59">
        <f t="shared" si="2126"/>
        <v>110.5</v>
      </c>
      <c r="AH163" s="59">
        <f t="shared" si="2126"/>
        <v>186.291742627346</v>
      </c>
      <c r="AI163" s="69">
        <f t="shared" si="2126"/>
        <v>4.0370225197581604</v>
      </c>
      <c r="AJ163" s="59">
        <f t="shared" si="2126"/>
        <v>3.20802918156553</v>
      </c>
      <c r="AK163" s="59">
        <f t="shared" si="2126"/>
        <v>218.90597577238401</v>
      </c>
      <c r="AL163" s="69"/>
      <c r="AM163" s="69"/>
      <c r="AN163" s="69">
        <f t="shared" si="2126"/>
        <v>4000</v>
      </c>
      <c r="AO163" s="69"/>
      <c r="AP163" s="69"/>
      <c r="AQ163" s="69">
        <f t="shared" si="2126"/>
        <v>0</v>
      </c>
      <c r="AR163" s="69"/>
      <c r="AS163" s="69">
        <f t="shared" ref="AS163:AU163" si="2127">AS164+AS165</f>
        <v>0</v>
      </c>
      <c r="AT163" s="403">
        <f t="shared" si="2127"/>
        <v>2.6947985537057701e-002</v>
      </c>
      <c r="AU163" s="69">
        <f t="shared" si="2127"/>
        <v>160.986726638672</v>
      </c>
      <c r="AV163" s="69"/>
      <c r="AW163" s="71"/>
      <c r="AX163" s="69">
        <f>AX164+AX165</f>
        <v>8549</v>
      </c>
      <c r="AY163" s="69">
        <v>4733</v>
      </c>
      <c r="AZ163" s="69">
        <f>AZ164+AZ165</f>
        <v>4429.8204179371696</v>
      </c>
      <c r="BA163" s="69">
        <f>BA164+BA165</f>
        <v>4119.1795820628304</v>
      </c>
      <c r="BB163" s="336">
        <f t="shared" si="1978"/>
        <v>0.92987507244842504</v>
      </c>
      <c r="BC163" s="404">
        <v>4767</v>
      </c>
      <c r="BD163" s="69">
        <f>BD164+BD165</f>
        <v>8890.1795820628304</v>
      </c>
      <c r="BG163" s="340"/>
    </row>
    <row r="164" s="5" customFormat="1" ht="17" customHeight="1">
      <c r="A164" s="44"/>
      <c r="B164" s="72" t="s">
        <v>205</v>
      </c>
      <c r="C164" s="46">
        <v>2</v>
      </c>
      <c r="D164" s="46"/>
      <c r="E164" s="46"/>
      <c r="F164" s="46"/>
      <c r="G164" s="73"/>
      <c r="H164" s="59">
        <f t="shared" ref="H164:H170" si="2128">SUM(I164:M164)</f>
        <v>0</v>
      </c>
      <c r="I164" s="59">
        <f t="shared" si="2080"/>
        <v>0</v>
      </c>
      <c r="J164" s="59">
        <f t="shared" si="2081"/>
        <v>0</v>
      </c>
      <c r="K164" s="59">
        <f t="shared" si="2082"/>
        <v>0</v>
      </c>
      <c r="L164" s="59">
        <f t="shared" si="2083"/>
        <v>0</v>
      </c>
      <c r="M164" s="59">
        <f t="shared" si="2084"/>
        <v>0</v>
      </c>
      <c r="N164" s="59"/>
      <c r="O164" s="59"/>
      <c r="P164" s="59">
        <f>L164*0.4+M164*0.6+N164*0.8+O164*1</f>
        <v>0</v>
      </c>
      <c r="Q164" s="59"/>
      <c r="R164" s="59"/>
      <c r="S164" s="59"/>
      <c r="T164" s="59"/>
      <c r="U164" s="59"/>
      <c r="V164" s="59">
        <f>H164/$H$9*134866+N164/$N$9*202299+P164/$P$9*100000+U164/$U$9*34867</f>
        <v>0</v>
      </c>
      <c r="W164" s="59"/>
      <c r="X164" s="62"/>
      <c r="Y164" s="62"/>
      <c r="Z164" s="62"/>
      <c r="AA164" s="59"/>
      <c r="AB164" s="59"/>
      <c r="AC164" s="59"/>
      <c r="AD164" s="59"/>
      <c r="AE164" s="59"/>
      <c r="AF164" s="59"/>
      <c r="AG164" s="59">
        <f t="shared" si="2092"/>
        <v>0</v>
      </c>
      <c r="AH164" s="59">
        <f>AG164/$AG$9*40459.89</f>
        <v>0</v>
      </c>
      <c r="AI164" s="59"/>
      <c r="AJ164" s="59">
        <f t="shared" si="2094"/>
        <v>0</v>
      </c>
      <c r="AK164" s="59">
        <f>AJ164/$AJ$9*40459.89</f>
        <v>0</v>
      </c>
      <c r="AL164" s="59"/>
      <c r="AM164" s="59"/>
      <c r="AN164" s="59"/>
      <c r="AO164" s="62"/>
      <c r="AP164" s="62"/>
      <c r="AQ164" s="59"/>
      <c r="AR164" s="59"/>
      <c r="AS164" s="59"/>
      <c r="AT164" s="189"/>
      <c r="AU164" s="59"/>
      <c r="AV164" s="59"/>
      <c r="AW164" s="59"/>
      <c r="AX164" s="59">
        <f>V164+AA164+AC164+AE164+AH164+AK164+AM164+AN164+AQ164+AS164+AU164+AW164</f>
        <v>0</v>
      </c>
      <c r="AY164" s="59"/>
      <c r="AZ164" s="170"/>
      <c r="BA164" s="50"/>
      <c r="BB164" s="43"/>
      <c r="BC164" s="50">
        <v>-4</v>
      </c>
      <c r="BD164" s="50"/>
      <c r="BG164" s="340"/>
    </row>
    <row r="165" s="5" customFormat="1" ht="17" customHeight="1">
      <c r="A165" s="75"/>
      <c r="B165" s="76" t="s">
        <v>76</v>
      </c>
      <c r="C165" s="77">
        <v>3</v>
      </c>
      <c r="D165" s="77"/>
      <c r="E165" s="77"/>
      <c r="F165" s="78"/>
      <c r="G165" s="79">
        <f>SUM(G166:G170)</f>
        <v>163512</v>
      </c>
      <c r="H165" s="79">
        <f>SUM(H166:H170)</f>
        <v>146456.10000000001</v>
      </c>
      <c r="I165" s="79">
        <f t="shared" ref="I165:U165" si="2129">SUM(I166:I170)</f>
        <v>10342.799999999999</v>
      </c>
      <c r="J165" s="79">
        <f t="shared" si="2129"/>
        <v>10215.1</v>
      </c>
      <c r="K165" s="79">
        <f t="shared" si="2129"/>
        <v>0</v>
      </c>
      <c r="L165" s="79">
        <f t="shared" si="2129"/>
        <v>52045.199999999997</v>
      </c>
      <c r="M165" s="79">
        <f t="shared" si="2129"/>
        <v>73853</v>
      </c>
      <c r="N165" s="79">
        <f t="shared" si="2129"/>
        <v>29428</v>
      </c>
      <c r="O165" s="79">
        <f t="shared" si="2129"/>
        <v>24965</v>
      </c>
      <c r="P165" s="79">
        <f t="shared" si="2129"/>
        <v>12523.799999999999</v>
      </c>
      <c r="Q165" s="59">
        <v>1253</v>
      </c>
      <c r="R165" s="79">
        <f>SUM(R166:R170)</f>
        <v>0</v>
      </c>
      <c r="S165" s="79">
        <f>SUM(S166:S170)</f>
        <v>11772</v>
      </c>
      <c r="T165" s="79">
        <f>SUM(T166:T170)</f>
        <v>0</v>
      </c>
      <c r="U165" s="79">
        <f>SUM(U166:U170)</f>
        <v>3900</v>
      </c>
      <c r="V165" s="79">
        <f>SUM(V166:V170)</f>
        <v>2874.6004720553301</v>
      </c>
      <c r="W165" s="79"/>
      <c r="X165" s="79">
        <f t="shared" ref="X165:AE165" si="2130">SUM(X166:X170)</f>
        <v>2.6559943327599398</v>
      </c>
      <c r="Y165" s="79">
        <f t="shared" si="2130"/>
        <v>12.5165837584839</v>
      </c>
      <c r="Z165" s="79">
        <f t="shared" si="2130"/>
        <v>10.898324912716101</v>
      </c>
      <c r="AA165" s="79">
        <f t="shared" si="2130"/>
        <v>863.37559805101398</v>
      </c>
      <c r="AB165" s="79">
        <f t="shared" si="2130"/>
        <v>19392.9797</v>
      </c>
      <c r="AC165" s="79">
        <f t="shared" si="2130"/>
        <v>244.66799757540301</v>
      </c>
      <c r="AD165" s="79"/>
      <c r="AE165" s="79"/>
      <c r="AF165" s="79">
        <f t="shared" ref="AF165:AS165" si="2131">SUM(AF166:AF170)</f>
        <v>124</v>
      </c>
      <c r="AG165" s="59">
        <f t="shared" si="2131"/>
        <v>110.5</v>
      </c>
      <c r="AH165" s="59">
        <f t="shared" si="2131"/>
        <v>186.291742627346</v>
      </c>
      <c r="AI165" s="79">
        <f t="shared" si="2131"/>
        <v>4.0370225197581604</v>
      </c>
      <c r="AJ165" s="59">
        <f t="shared" si="2131"/>
        <v>3.20802918156553</v>
      </c>
      <c r="AK165" s="59">
        <f t="shared" si="2131"/>
        <v>218.90597577238401</v>
      </c>
      <c r="AL165" s="79"/>
      <c r="AM165" s="79"/>
      <c r="AN165" s="79">
        <f t="shared" si="2131"/>
        <v>4000</v>
      </c>
      <c r="AO165" s="79"/>
      <c r="AP165" s="79"/>
      <c r="AQ165" s="79">
        <f t="shared" si="2131"/>
        <v>0</v>
      </c>
      <c r="AR165" s="79"/>
      <c r="AS165" s="79">
        <f t="shared" ref="AS165:AU165" si="2132">SUM(AS166:AS170)</f>
        <v>0</v>
      </c>
      <c r="AT165" s="405">
        <f t="shared" si="2132"/>
        <v>2.6947985537057701e-002</v>
      </c>
      <c r="AU165" s="79">
        <f t="shared" si="2132"/>
        <v>160.986726638672</v>
      </c>
      <c r="AV165" s="79"/>
      <c r="AW165" s="81"/>
      <c r="AX165" s="79">
        <f>SUM(AX166:AX170)</f>
        <v>8549</v>
      </c>
      <c r="AY165" s="79">
        <v>4733</v>
      </c>
      <c r="AZ165" s="79">
        <f>SUM(AZ166:AZ170)</f>
        <v>4429.8204179371696</v>
      </c>
      <c r="BA165" s="79">
        <f>SUM(BA166:BA170)</f>
        <v>4119.1795820628304</v>
      </c>
      <c r="BB165" s="337">
        <f t="shared" si="1978"/>
        <v>0.92987507244842504</v>
      </c>
      <c r="BC165" s="406">
        <v>4771</v>
      </c>
      <c r="BD165" s="79">
        <f>SUM(BD166:BD170)</f>
        <v>8890.1795820628304</v>
      </c>
      <c r="BG165" s="340"/>
    </row>
    <row r="166" ht="17" customHeight="1">
      <c r="A166" s="46">
        <v>110</v>
      </c>
      <c r="B166" s="82" t="s">
        <v>206</v>
      </c>
      <c r="C166" s="46" t="s">
        <v>78</v>
      </c>
      <c r="D166" s="46"/>
      <c r="E166" s="46"/>
      <c r="F166" s="46"/>
      <c r="G166" s="73">
        <v>1798</v>
      </c>
      <c r="H166" s="59">
        <f t="shared" si="2128"/>
        <v>1078.8</v>
      </c>
      <c r="I166" s="59">
        <f t="shared" si="2080"/>
        <v>1078.8</v>
      </c>
      <c r="J166" s="59">
        <f t="shared" si="2081"/>
        <v>0</v>
      </c>
      <c r="K166" s="59">
        <f t="shared" si="2082"/>
        <v>0</v>
      </c>
      <c r="L166" s="59">
        <f t="shared" si="2083"/>
        <v>0</v>
      </c>
      <c r="M166" s="59">
        <f t="shared" si="2084"/>
        <v>0</v>
      </c>
      <c r="N166" s="59">
        <v>461</v>
      </c>
      <c r="O166" s="59">
        <v>177</v>
      </c>
      <c r="P166" s="59">
        <f t="shared" ref="P166:P170" si="2133">Q166*0.6+R166*0.8+S166*1+T166*1.25</f>
        <v>0</v>
      </c>
      <c r="Q166" s="59"/>
      <c r="R166" s="59"/>
      <c r="S166" s="59"/>
      <c r="T166" s="59"/>
      <c r="U166" s="59">
        <v>36</v>
      </c>
      <c r="V166" s="59">
        <f t="shared" ref="V166:V170" si="2134">H166/$H$9*298699*0.12+N166/$N$9*298699*0.15+P166/$P$9*298699*0.035+U166/$U$9*298699*0.025</f>
        <v>31.617876116272399</v>
      </c>
      <c r="W166" s="59">
        <v>14488.950000000001</v>
      </c>
      <c r="X166" s="62">
        <f t="shared" ref="X166:X170" si="2135">($W$64-W166)/($W$64-$W$44)</f>
        <v>0.18873426259718401</v>
      </c>
      <c r="Y166" s="62">
        <f t="shared" ref="Y166:Y170" si="2136">(G166+N166)*X166/10000</f>
        <v>4.2635069920703803e-002</v>
      </c>
      <c r="Z166" s="62">
        <f>Y166*0.2</f>
        <v>8.5270139841407706e-003</v>
      </c>
      <c r="AA166" s="59">
        <f t="shared" ref="AA166:AA170" si="2137">Z166/$Z$9*298699*0.12</f>
        <v>0.67551810549866498</v>
      </c>
      <c r="AB166" s="59">
        <v>126.56999999999999</v>
      </c>
      <c r="AC166" s="59">
        <f t="shared" ref="AC166:AC170" si="2138">(AB166/$AB$9*298699*0.03)</f>
        <v>1.59684736085805</v>
      </c>
      <c r="AD166" s="59"/>
      <c r="AE166" s="59"/>
      <c r="AF166" s="59">
        <v>7</v>
      </c>
      <c r="AG166" s="59">
        <f>AF166*0.5</f>
        <v>3.5</v>
      </c>
      <c r="AH166" s="59">
        <f t="shared" ref="AH166:AH170" si="2139">AG166/$AG$9*298699*0.02</f>
        <v>5.9006434316353902</v>
      </c>
      <c r="AI166" s="59">
        <v>0.572265625</v>
      </c>
      <c r="AJ166" s="59">
        <f>AI166*0.5</f>
        <v>0.2861328125</v>
      </c>
      <c r="AK166" s="59">
        <f t="shared" ref="AK166:AK170" si="2140">AJ166/$AJ$9*298699*0.02</f>
        <v>19.524816943916498</v>
      </c>
      <c r="AL166" s="338"/>
      <c r="AM166" s="59"/>
      <c r="AN166" s="59"/>
      <c r="AO166" s="62"/>
      <c r="AP166" s="62"/>
      <c r="AQ166" s="59"/>
      <c r="AR166" s="59"/>
      <c r="AS166" s="59"/>
      <c r="AT166" s="189">
        <f>VLOOKUP(B:B,综合进度!B:N,13,0)</f>
        <v>2.4544578561453301e-003</v>
      </c>
      <c r="AU166" s="59">
        <f t="shared" ref="AU166:AU170" si="2141">AT166/$AT$9*298699*0.02</f>
        <v>14.662882143455001</v>
      </c>
      <c r="AV166" s="59"/>
      <c r="AW166" s="59"/>
      <c r="AX166" s="59">
        <f t="shared" ref="AX166:AX170" si="2142">ROUND(V166+AA166+AC166+AN166+AQ166+AS166+AU166+AW166+AH166+AK166,0)</f>
        <v>74</v>
      </c>
      <c r="AY166" s="59">
        <v>139</v>
      </c>
      <c r="AZ166" s="59">
        <f t="shared" ref="AZ166:AZ170" si="2143">AY166/$AY$9*280243</f>
        <v>130.09614157896999</v>
      </c>
      <c r="BA166" s="59">
        <f t="shared" ref="BA166:BA170" si="2144">AX166-AZ166</f>
        <v>-56.096141578970197</v>
      </c>
      <c r="BB166" s="43">
        <f t="shared" ref="BB166:BB194" si="2145">BA166/AZ166</f>
        <v>-0.43118989462819002</v>
      </c>
      <c r="BC166" s="50">
        <v>685</v>
      </c>
      <c r="BD166" s="50">
        <f t="shared" ref="BD166:BD170" si="2146">BC166+BA166</f>
        <v>628.90385842103001</v>
      </c>
      <c r="BG166" s="340"/>
    </row>
    <row r="167" ht="17" customHeight="1">
      <c r="A167" s="46">
        <v>111</v>
      </c>
      <c r="B167" s="82" t="s">
        <v>208</v>
      </c>
      <c r="C167" s="46" t="s">
        <v>90</v>
      </c>
      <c r="D167" s="46">
        <v>2019</v>
      </c>
      <c r="E167" s="46" t="s">
        <v>91</v>
      </c>
      <c r="F167" s="46"/>
      <c r="G167" s="73">
        <v>57828</v>
      </c>
      <c r="H167" s="59">
        <f t="shared" si="2128"/>
        <v>52045.199999999997</v>
      </c>
      <c r="I167" s="59">
        <f t="shared" si="2080"/>
        <v>0</v>
      </c>
      <c r="J167" s="59">
        <f t="shared" si="2081"/>
        <v>0</v>
      </c>
      <c r="K167" s="59">
        <f t="shared" si="2082"/>
        <v>0</v>
      </c>
      <c r="L167" s="59">
        <f t="shared" si="2083"/>
        <v>52045.199999999997</v>
      </c>
      <c r="M167" s="59">
        <f t="shared" si="2084"/>
        <v>0</v>
      </c>
      <c r="N167" s="59">
        <v>10560</v>
      </c>
      <c r="O167" s="59">
        <v>2624</v>
      </c>
      <c r="P167" s="59">
        <f t="shared" si="2133"/>
        <v>751.79999999999995</v>
      </c>
      <c r="Q167" s="59">
        <v>1253</v>
      </c>
      <c r="R167" s="59"/>
      <c r="S167" s="59"/>
      <c r="T167" s="59"/>
      <c r="U167" s="59">
        <v>912</v>
      </c>
      <c r="V167" s="59">
        <f t="shared" si="2134"/>
        <v>917.40530347112497</v>
      </c>
      <c r="W167" s="59">
        <v>11086.49</v>
      </c>
      <c r="X167" s="62">
        <f t="shared" si="2135"/>
        <v>0.73778203071798998</v>
      </c>
      <c r="Y167" s="62">
        <f t="shared" si="2136"/>
        <v>5.0455437516741899</v>
      </c>
      <c r="Z167" s="62">
        <f>Y167*1</f>
        <v>5.0455437516741899</v>
      </c>
      <c r="AA167" s="59">
        <f t="shared" si="2137"/>
        <v>399.71274383749301</v>
      </c>
      <c r="AB167" s="59">
        <v>5934.8999999999996</v>
      </c>
      <c r="AC167" s="59">
        <f t="shared" si="2138"/>
        <v>74.876585304230503</v>
      </c>
      <c r="AD167" s="59"/>
      <c r="AE167" s="59"/>
      <c r="AF167" s="59">
        <v>40</v>
      </c>
      <c r="AG167" s="59">
        <f t="shared" si="2092"/>
        <v>40</v>
      </c>
      <c r="AH167" s="59">
        <f t="shared" si="2139"/>
        <v>67.435924932975894</v>
      </c>
      <c r="AI167" s="59">
        <v>1</v>
      </c>
      <c r="AJ167" s="59">
        <f t="shared" si="2094"/>
        <v>1</v>
      </c>
      <c r="AK167" s="59">
        <f t="shared" si="2140"/>
        <v>68.236902902970996</v>
      </c>
      <c r="AL167" s="338"/>
      <c r="AM167" s="59"/>
      <c r="AN167" s="59">
        <v>3000</v>
      </c>
      <c r="AO167" s="62"/>
      <c r="AP167" s="62"/>
      <c r="AQ167" s="59"/>
      <c r="AR167" s="59"/>
      <c r="AS167" s="59"/>
      <c r="AT167" s="189">
        <f>VLOOKUP(B:B,综合进度!B:N,13,0)</f>
        <v>6.3478797633933397e-003</v>
      </c>
      <c r="AU167" s="59">
        <f t="shared" si="2141"/>
        <v>37.922106748916498</v>
      </c>
      <c r="AV167" s="59"/>
      <c r="AW167" s="59"/>
      <c r="AX167" s="59">
        <f t="shared" si="2142"/>
        <v>4566</v>
      </c>
      <c r="AY167" s="59">
        <v>1267</v>
      </c>
      <c r="AZ167" s="59">
        <f t="shared" si="2143"/>
        <v>1185.8403696442799</v>
      </c>
      <c r="BA167" s="59">
        <f t="shared" si="2144"/>
        <v>3380.1596303557199</v>
      </c>
      <c r="BB167" s="43">
        <f t="shared" si="2145"/>
        <v>2.8504339343495801</v>
      </c>
      <c r="BC167" s="50">
        <v>1082</v>
      </c>
      <c r="BD167" s="50">
        <f t="shared" si="2146"/>
        <v>4462.1596303557199</v>
      </c>
      <c r="BG167" s="340"/>
    </row>
    <row r="168" ht="17" customHeight="1">
      <c r="A168" s="46">
        <v>112</v>
      </c>
      <c r="B168" s="82" t="s">
        <v>209</v>
      </c>
      <c r="C168" s="46" t="s">
        <v>78</v>
      </c>
      <c r="D168" s="46"/>
      <c r="E168" s="46"/>
      <c r="F168" s="46"/>
      <c r="G168" s="73">
        <v>15440</v>
      </c>
      <c r="H168" s="59">
        <f t="shared" si="2128"/>
        <v>9264</v>
      </c>
      <c r="I168" s="59">
        <f t="shared" si="2080"/>
        <v>9264</v>
      </c>
      <c r="J168" s="59">
        <f t="shared" si="2081"/>
        <v>0</v>
      </c>
      <c r="K168" s="59">
        <f t="shared" si="2082"/>
        <v>0</v>
      </c>
      <c r="L168" s="59">
        <f t="shared" si="2083"/>
        <v>0</v>
      </c>
      <c r="M168" s="59">
        <f t="shared" si="2084"/>
        <v>0</v>
      </c>
      <c r="N168" s="59">
        <v>4362</v>
      </c>
      <c r="O168" s="59">
        <v>744</v>
      </c>
      <c r="P168" s="59">
        <f t="shared" si="2133"/>
        <v>0</v>
      </c>
      <c r="Q168" s="59"/>
      <c r="R168" s="59"/>
      <c r="S168" s="59"/>
      <c r="T168" s="59"/>
      <c r="U168" s="59">
        <v>438</v>
      </c>
      <c r="V168" s="59">
        <f t="shared" si="2134"/>
        <v>298.18265218646599</v>
      </c>
      <c r="W168" s="59">
        <v>10268.18</v>
      </c>
      <c r="X168" s="62">
        <f t="shared" si="2135"/>
        <v>0.86983098327906005</v>
      </c>
      <c r="Y168" s="62">
        <f t="shared" si="2136"/>
        <v>1.72243931308919</v>
      </c>
      <c r="Z168" s="62">
        <f>Y168*0.2</f>
        <v>0.34448786261783898</v>
      </c>
      <c r="AA168" s="59">
        <f t="shared" si="2137"/>
        <v>27.290654003347001</v>
      </c>
      <c r="AB168" s="59">
        <v>4747.6700000000001</v>
      </c>
      <c r="AC168" s="59">
        <f t="shared" si="2138"/>
        <v>59.898114163900999</v>
      </c>
      <c r="AD168" s="59"/>
      <c r="AE168" s="59"/>
      <c r="AF168" s="59">
        <v>20</v>
      </c>
      <c r="AG168" s="59">
        <f>AF168*0.5</f>
        <v>10</v>
      </c>
      <c r="AH168" s="59">
        <f t="shared" si="2139"/>
        <v>16.858981233243998</v>
      </c>
      <c r="AI168" s="59">
        <v>1.08572105138527</v>
      </c>
      <c r="AJ168" s="59">
        <f>AI168*0.5</f>
        <v>0.54286052569263499</v>
      </c>
      <c r="AK168" s="59">
        <f t="shared" si="2140"/>
        <v>37.043120981544099</v>
      </c>
      <c r="AL168" s="338"/>
      <c r="AM168" s="59"/>
      <c r="AN168" s="59"/>
      <c r="AO168" s="62"/>
      <c r="AP168" s="62"/>
      <c r="AQ168" s="59"/>
      <c r="AR168" s="59"/>
      <c r="AS168" s="59"/>
      <c r="AT168" s="189">
        <f>VLOOKUP(B:B,综合进度!B:N,13,0)</f>
        <v>2.9472646998210399e-003</v>
      </c>
      <c r="AU168" s="59">
        <f t="shared" si="2141"/>
        <v>17.6069003714369</v>
      </c>
      <c r="AV168" s="59"/>
      <c r="AW168" s="59"/>
      <c r="AX168" s="59">
        <f t="shared" si="2142"/>
        <v>457</v>
      </c>
      <c r="AY168" s="59">
        <v>273</v>
      </c>
      <c r="AZ168" s="59">
        <f t="shared" si="2143"/>
        <v>255.51256583495601</v>
      </c>
      <c r="BA168" s="59">
        <f t="shared" si="2144"/>
        <v>201.48743416504399</v>
      </c>
      <c r="BB168" s="43">
        <f t="shared" si="2145"/>
        <v>0.78856174257665101</v>
      </c>
      <c r="BC168" s="50">
        <v>1459</v>
      </c>
      <c r="BD168" s="50">
        <f t="shared" si="2146"/>
        <v>1660.48743416504</v>
      </c>
      <c r="BG168" s="340"/>
    </row>
    <row r="169" ht="17" customHeight="1">
      <c r="A169" s="46">
        <v>113</v>
      </c>
      <c r="B169" s="82" t="s">
        <v>210</v>
      </c>
      <c r="C169" s="46" t="s">
        <v>93</v>
      </c>
      <c r="D169" s="46">
        <v>2020</v>
      </c>
      <c r="E169" s="46" t="s">
        <v>94</v>
      </c>
      <c r="F169" s="46"/>
      <c r="G169" s="73">
        <v>73853</v>
      </c>
      <c r="H169" s="59">
        <f t="shared" si="2128"/>
        <v>73853</v>
      </c>
      <c r="I169" s="59">
        <f t="shared" si="2080"/>
        <v>0</v>
      </c>
      <c r="J169" s="59">
        <f t="shared" si="2081"/>
        <v>0</v>
      </c>
      <c r="K169" s="59">
        <f t="shared" si="2082"/>
        <v>0</v>
      </c>
      <c r="L169" s="59">
        <f t="shared" si="2083"/>
        <v>0</v>
      </c>
      <c r="M169" s="59">
        <f t="shared" si="2084"/>
        <v>73853</v>
      </c>
      <c r="N169" s="59">
        <v>11321</v>
      </c>
      <c r="O169" s="59">
        <v>20405</v>
      </c>
      <c r="P169" s="59">
        <f t="shared" si="2133"/>
        <v>11772</v>
      </c>
      <c r="Q169" s="59">
        <v>0</v>
      </c>
      <c r="R169" s="59"/>
      <c r="S169" s="59">
        <v>11772</v>
      </c>
      <c r="T169" s="59"/>
      <c r="U169" s="59">
        <v>2101</v>
      </c>
      <c r="V169" s="59">
        <f t="shared" si="2134"/>
        <v>1406.34433542853</v>
      </c>
      <c r="W169" s="59">
        <v>11807.09</v>
      </c>
      <c r="X169" s="62">
        <f t="shared" si="2135"/>
        <v>0.62150033403151805</v>
      </c>
      <c r="Y169" s="62">
        <f t="shared" si="2136"/>
        <v>5.2935669450800598</v>
      </c>
      <c r="Z169" s="62">
        <f>Y169*1</f>
        <v>5.2935669450800598</v>
      </c>
      <c r="AA169" s="59">
        <f t="shared" si="2137"/>
        <v>419.36137559075001</v>
      </c>
      <c r="AB169" s="59">
        <v>6466.2397000000001</v>
      </c>
      <c r="AC169" s="59">
        <f t="shared" si="2138"/>
        <v>81.580135890183797</v>
      </c>
      <c r="AD169" s="59"/>
      <c r="AE169" s="59"/>
      <c r="AF169" s="59">
        <v>38</v>
      </c>
      <c r="AG169" s="59">
        <f t="shared" si="2092"/>
        <v>38</v>
      </c>
      <c r="AH169" s="59">
        <f t="shared" si="2139"/>
        <v>64.064128686327095</v>
      </c>
      <c r="AI169" s="59">
        <v>0.529989094874591</v>
      </c>
      <c r="AJ169" s="59">
        <f t="shared" si="2094"/>
        <v>0.529989094874591</v>
      </c>
      <c r="AK169" s="59">
        <f t="shared" si="2140"/>
        <v>36.164814406590899</v>
      </c>
      <c r="AL169" s="338"/>
      <c r="AM169" s="59"/>
      <c r="AN169" s="59">
        <v>1000</v>
      </c>
      <c r="AO169" s="62"/>
      <c r="AP169" s="62"/>
      <c r="AQ169" s="59"/>
      <c r="AR169" s="59"/>
      <c r="AS169" s="59"/>
      <c r="AT169" s="189">
        <f>VLOOKUP(B:B,综合进度!B:N,13,0)</f>
        <v>1.21604118607025e-002</v>
      </c>
      <c r="AU169" s="59">
        <f t="shared" si="2141"/>
        <v>72.6460572475996</v>
      </c>
      <c r="AV169" s="59"/>
      <c r="AW169" s="59"/>
      <c r="AX169" s="59">
        <f t="shared" si="2142"/>
        <v>3080</v>
      </c>
      <c r="AY169" s="59">
        <v>2777</v>
      </c>
      <c r="AZ169" s="59">
        <f t="shared" si="2143"/>
        <v>2599.1150011856098</v>
      </c>
      <c r="BA169" s="59">
        <f t="shared" si="2144"/>
        <v>480.88499881438599</v>
      </c>
      <c r="BB169" s="43">
        <f t="shared" si="2145"/>
        <v>0.18501874622516701</v>
      </c>
      <c r="BC169" s="50">
        <v>131</v>
      </c>
      <c r="BD169" s="50">
        <f t="shared" si="2146"/>
        <v>611.88499881438599</v>
      </c>
      <c r="BF169" s="341"/>
      <c r="BG169" s="339"/>
    </row>
    <row r="170" ht="17" customHeight="1">
      <c r="A170" s="46">
        <v>114</v>
      </c>
      <c r="B170" s="82" t="s">
        <v>207</v>
      </c>
      <c r="C170" s="46" t="s">
        <v>90</v>
      </c>
      <c r="D170" s="46">
        <v>2017</v>
      </c>
      <c r="E170" s="46"/>
      <c r="F170" s="46"/>
      <c r="G170" s="73">
        <v>14593</v>
      </c>
      <c r="H170" s="59">
        <f t="shared" si="2128"/>
        <v>10215.1</v>
      </c>
      <c r="I170" s="59">
        <f t="shared" si="2080"/>
        <v>0</v>
      </c>
      <c r="J170" s="59">
        <f t="shared" si="2081"/>
        <v>10215.1</v>
      </c>
      <c r="K170" s="59">
        <f t="shared" si="2082"/>
        <v>0</v>
      </c>
      <c r="L170" s="59">
        <f t="shared" si="2083"/>
        <v>0</v>
      </c>
      <c r="M170" s="59">
        <f t="shared" si="2084"/>
        <v>0</v>
      </c>
      <c r="N170" s="59">
        <v>2724</v>
      </c>
      <c r="O170" s="59">
        <v>1015</v>
      </c>
      <c r="P170" s="59">
        <f t="shared" si="2133"/>
        <v>0</v>
      </c>
      <c r="Q170" s="59"/>
      <c r="R170" s="59"/>
      <c r="S170" s="59"/>
      <c r="T170" s="59"/>
      <c r="U170" s="59">
        <v>413</v>
      </c>
      <c r="V170" s="59">
        <f t="shared" si="2134"/>
        <v>221.050304852935</v>
      </c>
      <c r="W170" s="59">
        <v>14182.74</v>
      </c>
      <c r="X170" s="62">
        <f t="shared" si="2135"/>
        <v>0.238146722134187</v>
      </c>
      <c r="Y170" s="62">
        <f t="shared" si="2136"/>
        <v>0.41239867871977198</v>
      </c>
      <c r="Z170" s="62">
        <f>Y170*0.5</f>
        <v>0.20619933935988599</v>
      </c>
      <c r="AA170" s="59">
        <f t="shared" si="2137"/>
        <v>16.3353065139253</v>
      </c>
      <c r="AB170" s="59">
        <v>2117.5999999999999</v>
      </c>
      <c r="AC170" s="59">
        <f t="shared" si="2138"/>
        <v>26.7163148562299</v>
      </c>
      <c r="AD170" s="59"/>
      <c r="AE170" s="59"/>
      <c r="AF170" s="59">
        <v>19</v>
      </c>
      <c r="AG170" s="59">
        <f t="shared" si="2092"/>
        <v>19</v>
      </c>
      <c r="AH170" s="59">
        <f t="shared" si="2139"/>
        <v>32.032064343163498</v>
      </c>
      <c r="AI170" s="59">
        <v>0.84904674849830197</v>
      </c>
      <c r="AJ170" s="59">
        <f t="shared" si="2094"/>
        <v>0.84904674849830197</v>
      </c>
      <c r="AK170" s="59">
        <f t="shared" si="2140"/>
        <v>57.936320537361802</v>
      </c>
      <c r="AL170" s="338"/>
      <c r="AM170" s="59"/>
      <c r="AN170" s="59"/>
      <c r="AO170" s="62"/>
      <c r="AP170" s="62"/>
      <c r="AQ170" s="59"/>
      <c r="AR170" s="59"/>
      <c r="AS170" s="59"/>
      <c r="AT170" s="189">
        <f>VLOOKUP(B:B,综合进度!B:N,13,0)</f>
        <v>3.03797135699549e-003</v>
      </c>
      <c r="AU170" s="59">
        <f t="shared" si="2141"/>
        <v>18.148780127263901</v>
      </c>
      <c r="AV170" s="59"/>
      <c r="AW170" s="59"/>
      <c r="AX170" s="59">
        <f t="shared" si="2142"/>
        <v>372</v>
      </c>
      <c r="AY170" s="59">
        <v>277</v>
      </c>
      <c r="AZ170" s="59">
        <f t="shared" si="2143"/>
        <v>259.25633969334399</v>
      </c>
      <c r="BA170" s="59">
        <f t="shared" si="2144"/>
        <v>112.743660306656</v>
      </c>
      <c r="BB170" s="43">
        <f t="shared" si="2145"/>
        <v>0.43487330122770801</v>
      </c>
      <c r="BC170" s="50">
        <v>1414</v>
      </c>
      <c r="BD170" s="50">
        <f t="shared" si="2146"/>
        <v>1526.7436603066601</v>
      </c>
      <c r="BG170" s="340"/>
    </row>
    <row r="171" s="5" customFormat="1" ht="17" customHeight="1">
      <c r="A171" s="65"/>
      <c r="B171" s="66" t="s">
        <v>211</v>
      </c>
      <c r="C171" s="67">
        <v>1</v>
      </c>
      <c r="D171" s="67"/>
      <c r="E171" s="67"/>
      <c r="F171" s="68"/>
      <c r="G171" s="69">
        <f>G172+G173</f>
        <v>229768</v>
      </c>
      <c r="H171" s="69">
        <f>H172+H173</f>
        <v>228035.60000000001</v>
      </c>
      <c r="I171" s="69">
        <f t="shared" ref="I171:U171" si="2147">I172+I173</f>
        <v>0</v>
      </c>
      <c r="J171" s="69">
        <f t="shared" si="2147"/>
        <v>0</v>
      </c>
      <c r="K171" s="69">
        <f t="shared" si="2147"/>
        <v>0</v>
      </c>
      <c r="L171" s="69">
        <f t="shared" si="2147"/>
        <v>15591.6</v>
      </c>
      <c r="M171" s="69">
        <f t="shared" si="2147"/>
        <v>212444</v>
      </c>
      <c r="N171" s="69">
        <f t="shared" si="2147"/>
        <v>41805</v>
      </c>
      <c r="O171" s="69">
        <f t="shared" si="2147"/>
        <v>95859</v>
      </c>
      <c r="P171" s="69">
        <f t="shared" si="2147"/>
        <v>75881.350000000006</v>
      </c>
      <c r="Q171" s="59">
        <v>16227</v>
      </c>
      <c r="R171" s="69">
        <f>R172+R173</f>
        <v>16578</v>
      </c>
      <c r="S171" s="69">
        <f>S172+S173</f>
        <v>48644</v>
      </c>
      <c r="T171" s="69">
        <f>T172+T173</f>
        <v>3391</v>
      </c>
      <c r="U171" s="69">
        <f>U172+U173</f>
        <v>2100</v>
      </c>
      <c r="V171" s="69">
        <f>V172+V173</f>
        <v>5373.4536356126901</v>
      </c>
      <c r="W171" s="69"/>
      <c r="X171" s="69">
        <f t="shared" ref="X171:AE171" si="2148">X172+X173</f>
        <v>2.3891096042936799</v>
      </c>
      <c r="Y171" s="69">
        <f t="shared" si="2148"/>
        <v>16.7246346656942</v>
      </c>
      <c r="Z171" s="69">
        <f t="shared" si="2148"/>
        <v>16.7246346656942</v>
      </c>
      <c r="AA171" s="69">
        <f t="shared" si="2148"/>
        <v>1324.9413623033299</v>
      </c>
      <c r="AB171" s="69">
        <f t="shared" si="2148"/>
        <v>16172.68</v>
      </c>
      <c r="AC171" s="69">
        <f t="shared" si="2148"/>
        <v>204.03967271866799</v>
      </c>
      <c r="AD171" s="69"/>
      <c r="AE171" s="69"/>
      <c r="AF171" s="69">
        <f t="shared" ref="AF171:AS171" si="2149">AF172+AF173</f>
        <v>68</v>
      </c>
      <c r="AG171" s="59">
        <f t="shared" si="2149"/>
        <v>68</v>
      </c>
      <c r="AH171" s="59">
        <f t="shared" si="2149"/>
        <v>114.64107238605899</v>
      </c>
      <c r="AI171" s="69">
        <f t="shared" si="2149"/>
        <v>2.3648402148676002</v>
      </c>
      <c r="AJ171" s="59">
        <f t="shared" si="2149"/>
        <v>2.3648402148676002</v>
      </c>
      <c r="AK171" s="59">
        <f t="shared" si="2149"/>
        <v>161.36937212296201</v>
      </c>
      <c r="AL171" s="69"/>
      <c r="AM171" s="69"/>
      <c r="AN171" s="69">
        <f t="shared" si="2149"/>
        <v>4000</v>
      </c>
      <c r="AO171" s="69"/>
      <c r="AP171" s="69"/>
      <c r="AQ171" s="69">
        <f t="shared" si="2149"/>
        <v>0</v>
      </c>
      <c r="AR171" s="69"/>
      <c r="AS171" s="69">
        <f t="shared" ref="AS171:AU171" si="2150">AS172+AS173</f>
        <v>0</v>
      </c>
      <c r="AT171" s="403">
        <f t="shared" si="2150"/>
        <v>8.7993259011365801e-002</v>
      </c>
      <c r="AU171" s="69">
        <f t="shared" si="2150"/>
        <v>525.66996946871905</v>
      </c>
      <c r="AV171" s="69"/>
      <c r="AW171" s="71"/>
      <c r="AX171" s="69">
        <f>AX172+AX173</f>
        <v>11705</v>
      </c>
      <c r="AY171" s="69">
        <v>32107</v>
      </c>
      <c r="AZ171" s="69">
        <f>AZ172+AZ173</f>
        <v>30050.336817812899</v>
      </c>
      <c r="BA171" s="69">
        <f>BA172+BA173</f>
        <v>-18345.336817812899</v>
      </c>
      <c r="BB171" s="336">
        <f t="shared" si="2145"/>
        <v>-0.61048689500672604</v>
      </c>
      <c r="BC171" s="404">
        <v>4144</v>
      </c>
      <c r="BD171" s="69">
        <f>BD172+BD173</f>
        <v>-14245.3368178129</v>
      </c>
      <c r="BG171" s="340"/>
    </row>
    <row r="172" s="5" customFormat="1" ht="17" customHeight="1">
      <c r="A172" s="44"/>
      <c r="B172" s="72" t="s">
        <v>212</v>
      </c>
      <c r="C172" s="46">
        <v>2</v>
      </c>
      <c r="D172" s="46"/>
      <c r="E172" s="46"/>
      <c r="F172" s="46"/>
      <c r="G172" s="73"/>
      <c r="H172" s="59">
        <f t="shared" ref="H172:H177" si="2151">SUM(I172:M172)</f>
        <v>0</v>
      </c>
      <c r="I172" s="59">
        <f t="shared" si="2080"/>
        <v>0</v>
      </c>
      <c r="J172" s="59">
        <f t="shared" si="2081"/>
        <v>0</v>
      </c>
      <c r="K172" s="59">
        <f t="shared" si="2082"/>
        <v>0</v>
      </c>
      <c r="L172" s="59">
        <f t="shared" si="2083"/>
        <v>0</v>
      </c>
      <c r="M172" s="59">
        <f t="shared" si="2084"/>
        <v>0</v>
      </c>
      <c r="N172" s="59"/>
      <c r="O172" s="59"/>
      <c r="P172" s="59">
        <f>L172*0.4+M172*0.6+N172*0.8+O172*1</f>
        <v>0</v>
      </c>
      <c r="Q172" s="59"/>
      <c r="R172" s="59"/>
      <c r="S172" s="59"/>
      <c r="T172" s="59"/>
      <c r="U172" s="59"/>
      <c r="V172" s="59">
        <f>H172/$H$9*134866+N172/$N$9*202299+P172/$P$9*100000+U172/$U$9*34867</f>
        <v>0</v>
      </c>
      <c r="W172" s="59"/>
      <c r="X172" s="62"/>
      <c r="Y172" s="62"/>
      <c r="Z172" s="62"/>
      <c r="AA172" s="59"/>
      <c r="AB172" s="59"/>
      <c r="AC172" s="59"/>
      <c r="AD172" s="59"/>
      <c r="AE172" s="59"/>
      <c r="AF172" s="59"/>
      <c r="AG172" s="59">
        <f t="shared" si="2092"/>
        <v>0</v>
      </c>
      <c r="AH172" s="59">
        <f>AG172/$AG$9*40459.89</f>
        <v>0</v>
      </c>
      <c r="AI172" s="59"/>
      <c r="AJ172" s="59">
        <f t="shared" si="2094"/>
        <v>0</v>
      </c>
      <c r="AK172" s="59">
        <f>AJ172/$AJ$9*40459.89</f>
        <v>0</v>
      </c>
      <c r="AL172" s="59"/>
      <c r="AM172" s="59"/>
      <c r="AN172" s="59"/>
      <c r="AO172" s="62"/>
      <c r="AP172" s="62"/>
      <c r="AQ172" s="59"/>
      <c r="AR172" s="59"/>
      <c r="AS172" s="59"/>
      <c r="AT172" s="189"/>
      <c r="AU172" s="59"/>
      <c r="AV172" s="59"/>
      <c r="AW172" s="59"/>
      <c r="AX172" s="59">
        <f>V172+AA172+AC172+AE172+AH172+AK172+AM172+AN172+AQ172+AS172+AU172+AW172</f>
        <v>0</v>
      </c>
      <c r="AY172" s="59"/>
      <c r="AZ172" s="170"/>
      <c r="BA172" s="50"/>
      <c r="BB172" s="43"/>
      <c r="BC172" s="50">
        <v>44</v>
      </c>
      <c r="BD172" s="50"/>
      <c r="BG172" s="340"/>
    </row>
    <row r="173" s="5" customFormat="1" ht="17" customHeight="1">
      <c r="A173" s="75"/>
      <c r="B173" s="76" t="s">
        <v>76</v>
      </c>
      <c r="C173" s="77">
        <v>3</v>
      </c>
      <c r="D173" s="77"/>
      <c r="E173" s="77"/>
      <c r="F173" s="78"/>
      <c r="G173" s="79">
        <f>SUM(G174:G177)</f>
        <v>229768</v>
      </c>
      <c r="H173" s="79">
        <f>SUM(H174:H177)</f>
        <v>228035.60000000001</v>
      </c>
      <c r="I173" s="79">
        <f t="shared" ref="I173:U173" si="2152">SUM(I174:I177)</f>
        <v>0</v>
      </c>
      <c r="J173" s="79">
        <f t="shared" si="2152"/>
        <v>0</v>
      </c>
      <c r="K173" s="79">
        <f t="shared" si="2152"/>
        <v>0</v>
      </c>
      <c r="L173" s="79">
        <f t="shared" si="2152"/>
        <v>15591.6</v>
      </c>
      <c r="M173" s="79">
        <f t="shared" si="2152"/>
        <v>212444</v>
      </c>
      <c r="N173" s="79">
        <f t="shared" si="2152"/>
        <v>41805</v>
      </c>
      <c r="O173" s="79">
        <f t="shared" si="2152"/>
        <v>95859</v>
      </c>
      <c r="P173" s="79">
        <f t="shared" si="2152"/>
        <v>75881.350000000006</v>
      </c>
      <c r="Q173" s="59">
        <v>16227</v>
      </c>
      <c r="R173" s="79">
        <f>SUM(R174:R177)</f>
        <v>16578</v>
      </c>
      <c r="S173" s="79">
        <f>SUM(S174:S177)</f>
        <v>48644</v>
      </c>
      <c r="T173" s="79">
        <f>SUM(T174:T177)</f>
        <v>3391</v>
      </c>
      <c r="U173" s="79">
        <f>SUM(U174:U177)</f>
        <v>2100</v>
      </c>
      <c r="V173" s="79">
        <f>SUM(V174:V177)</f>
        <v>5373.4536356126901</v>
      </c>
      <c r="W173" s="79"/>
      <c r="X173" s="79">
        <f t="shared" ref="X173:AE173" si="2153">SUM(X174:X177)</f>
        <v>2.3891096042936799</v>
      </c>
      <c r="Y173" s="79">
        <f t="shared" si="2153"/>
        <v>16.7246346656942</v>
      </c>
      <c r="Z173" s="79">
        <f t="shared" si="2153"/>
        <v>16.7246346656942</v>
      </c>
      <c r="AA173" s="79">
        <f t="shared" si="2153"/>
        <v>1324.9413623033299</v>
      </c>
      <c r="AB173" s="79">
        <f t="shared" si="2153"/>
        <v>16172.68</v>
      </c>
      <c r="AC173" s="79">
        <f t="shared" si="2153"/>
        <v>204.03967271866799</v>
      </c>
      <c r="AD173" s="79"/>
      <c r="AE173" s="79"/>
      <c r="AF173" s="79">
        <f t="shared" ref="AF173:AS173" si="2154">SUM(AF174:AF177)</f>
        <v>68</v>
      </c>
      <c r="AG173" s="59">
        <f t="shared" si="2154"/>
        <v>68</v>
      </c>
      <c r="AH173" s="59">
        <f t="shared" si="2154"/>
        <v>114.64107238605899</v>
      </c>
      <c r="AI173" s="79">
        <f t="shared" si="2154"/>
        <v>2.3648402148676002</v>
      </c>
      <c r="AJ173" s="59">
        <f t="shared" si="2154"/>
        <v>2.3648402148676002</v>
      </c>
      <c r="AK173" s="59">
        <f t="shared" si="2154"/>
        <v>161.36937212296201</v>
      </c>
      <c r="AL173" s="79"/>
      <c r="AM173" s="79"/>
      <c r="AN173" s="79">
        <f t="shared" si="2154"/>
        <v>4000</v>
      </c>
      <c r="AO173" s="79"/>
      <c r="AP173" s="79"/>
      <c r="AQ173" s="79">
        <f t="shared" si="2154"/>
        <v>0</v>
      </c>
      <c r="AR173" s="79"/>
      <c r="AS173" s="79">
        <f t="shared" ref="AS173:AU173" si="2155">SUM(AS174:AS177)</f>
        <v>0</v>
      </c>
      <c r="AT173" s="405">
        <f t="shared" si="2155"/>
        <v>8.7993259011365801e-002</v>
      </c>
      <c r="AU173" s="79">
        <f t="shared" si="2155"/>
        <v>525.66996946871905</v>
      </c>
      <c r="AV173" s="79"/>
      <c r="AW173" s="81"/>
      <c r="AX173" s="79">
        <f>SUM(AX174:AX177)</f>
        <v>11705</v>
      </c>
      <c r="AY173" s="79">
        <v>32107</v>
      </c>
      <c r="AZ173" s="79">
        <f>SUM(AZ174:AZ177)</f>
        <v>30050.336817812899</v>
      </c>
      <c r="BA173" s="79">
        <f>SUM(BA174:BA177)</f>
        <v>-18345.336817812899</v>
      </c>
      <c r="BB173" s="337">
        <f t="shared" si="2145"/>
        <v>-0.61048689500672604</v>
      </c>
      <c r="BC173" s="406">
        <v>4100</v>
      </c>
      <c r="BD173" s="79">
        <f>SUM(BD174:BD177)</f>
        <v>-14245.3368178129</v>
      </c>
      <c r="BG173" s="340"/>
    </row>
    <row r="174" ht="17" customHeight="1">
      <c r="A174" s="46">
        <v>115</v>
      </c>
      <c r="B174" s="82" t="s">
        <v>216</v>
      </c>
      <c r="C174" s="46" t="s">
        <v>93</v>
      </c>
      <c r="D174" s="46">
        <v>2020</v>
      </c>
      <c r="E174" s="46" t="s">
        <v>94</v>
      </c>
      <c r="F174" s="46"/>
      <c r="G174" s="73">
        <f>88228-1522</f>
        <v>86706</v>
      </c>
      <c r="H174" s="59">
        <f t="shared" si="2151"/>
        <v>86706</v>
      </c>
      <c r="I174" s="59">
        <f t="shared" si="2080"/>
        <v>0</v>
      </c>
      <c r="J174" s="59">
        <f t="shared" si="2081"/>
        <v>0</v>
      </c>
      <c r="K174" s="59">
        <f t="shared" si="2082"/>
        <v>0</v>
      </c>
      <c r="L174" s="59">
        <f t="shared" si="2083"/>
        <v>0</v>
      </c>
      <c r="M174" s="59">
        <f t="shared" si="2084"/>
        <v>86706</v>
      </c>
      <c r="N174" s="59">
        <v>17288</v>
      </c>
      <c r="O174" s="59">
        <v>39927</v>
      </c>
      <c r="P174" s="59">
        <f t="shared" ref="P174:P177" si="2156">Q174*0.6+R174*0.8+S174*1+T174*1.25</f>
        <v>33823</v>
      </c>
      <c r="Q174" s="59">
        <v>1458</v>
      </c>
      <c r="R174" s="59">
        <v>5324</v>
      </c>
      <c r="S174" s="59">
        <v>28689</v>
      </c>
      <c r="T174" s="59"/>
      <c r="U174" s="59">
        <v>1120</v>
      </c>
      <c r="V174" s="59">
        <f t="shared" ref="V174:V177" si="2157">H174/$H$9*298699*0.12+N174/$N$9*298699*0.15+P174/$P$9*298699*0.035+U174/$U$9*298699*0.025</f>
        <v>2243.5462225905599</v>
      </c>
      <c r="W174" s="59">
        <v>11496.65</v>
      </c>
      <c r="X174" s="62">
        <f t="shared" ref="X174:X177" si="2158">($W$64-W174)/($W$64-$W$44)</f>
        <v>0.67159537971476602</v>
      </c>
      <c r="Y174" s="62">
        <f t="shared" ref="Y174:Y177" si="2159">(G174+N174)*X174/10000</f>
        <v>6.9841889918057403</v>
      </c>
      <c r="Z174" s="62">
        <f t="shared" ref="Z174:Z177" si="2160">Y174*1</f>
        <v>6.9841889918057403</v>
      </c>
      <c r="AA174" s="59">
        <f t="shared" ref="AA174:AA177" si="2161">Z174/$Z$9*298699*0.12</f>
        <v>553.29405170016901</v>
      </c>
      <c r="AB174" s="59">
        <v>4460.1999999999998</v>
      </c>
      <c r="AC174" s="59">
        <f t="shared" ref="AC174:AC177" si="2162">(AB174/$AB$9*298699*0.03)</f>
        <v>56.271301247523802</v>
      </c>
      <c r="AD174" s="59"/>
      <c r="AE174" s="59"/>
      <c r="AF174" s="59">
        <v>12</v>
      </c>
      <c r="AG174" s="59">
        <f t="shared" si="2092"/>
        <v>12</v>
      </c>
      <c r="AH174" s="59">
        <f t="shared" ref="AH174:AH177" si="2163">AG174/$AG$9*298699*0.02</f>
        <v>20.230777479892801</v>
      </c>
      <c r="AI174" s="59">
        <v>0.37787297141444898</v>
      </c>
      <c r="AJ174" s="59">
        <f t="shared" si="2094"/>
        <v>0.37787297141444898</v>
      </c>
      <c r="AK174" s="59">
        <f t="shared" ref="AK174:AK177" si="2164">AJ174/$AJ$9*298699*0.02</f>
        <v>25.7848812600649</v>
      </c>
      <c r="AL174" s="338"/>
      <c r="AM174" s="59"/>
      <c r="AN174" s="59">
        <v>1000</v>
      </c>
      <c r="AO174" s="62"/>
      <c r="AP174" s="62"/>
      <c r="AQ174" s="59"/>
      <c r="AR174" s="59"/>
      <c r="AS174" s="59"/>
      <c r="AT174" s="189">
        <f>VLOOKUP(B:B,综合进度!B:N,13,0)</f>
        <v>2.47119333593969e-002</v>
      </c>
      <c r="AU174" s="59">
        <f t="shared" ref="AU174:AU177" si="2165">AT174/$AT$9*298699*0.02</f>
        <v>147.62859565036999</v>
      </c>
      <c r="AV174" s="59"/>
      <c r="AW174" s="59"/>
      <c r="AX174" s="59">
        <f t="shared" ref="AX174:AX177" si="2166">ROUND(V174+AA174+AC174+AN174+AQ174+AS174+AU174+AW174+AH174+AK174,0)</f>
        <v>4047</v>
      </c>
      <c r="AY174" s="59">
        <v>4735</v>
      </c>
      <c r="AZ174" s="59">
        <f t="shared" ref="AZ174:AZ177" si="2167">AY174/$AY$9*280243</f>
        <v>4431.6923048663602</v>
      </c>
      <c r="BA174" s="59">
        <f t="shared" ref="BA174:BA177" si="2168">AX174-AZ174</f>
        <v>-384.69230486636002</v>
      </c>
      <c r="BB174" s="43">
        <f t="shared" si="2145"/>
        <v>-8.6804831744283495e-002</v>
      </c>
      <c r="BC174" s="50">
        <v>2528</v>
      </c>
      <c r="BD174" s="50">
        <f t="shared" ref="BD174:BD177" si="2169">BC174+BA174</f>
        <v>2143.3076951336402</v>
      </c>
      <c r="BF174" s="341"/>
      <c r="BG174" s="339"/>
    </row>
    <row r="175" ht="17" customHeight="1">
      <c r="A175" s="46">
        <v>116</v>
      </c>
      <c r="B175" s="82" t="s">
        <v>214</v>
      </c>
      <c r="C175" s="46" t="s">
        <v>93</v>
      </c>
      <c r="D175" s="46">
        <v>2020</v>
      </c>
      <c r="E175" s="46" t="s">
        <v>94</v>
      </c>
      <c r="F175" s="46" t="s">
        <v>146</v>
      </c>
      <c r="G175" s="73">
        <f>61052-1097</f>
        <v>59955</v>
      </c>
      <c r="H175" s="59">
        <f t="shared" si="2151"/>
        <v>59955</v>
      </c>
      <c r="I175" s="59">
        <f t="shared" si="2080"/>
        <v>0</v>
      </c>
      <c r="J175" s="59">
        <f t="shared" si="2081"/>
        <v>0</v>
      </c>
      <c r="K175" s="59">
        <f t="shared" si="2082"/>
        <v>0</v>
      </c>
      <c r="L175" s="59">
        <f t="shared" si="2083"/>
        <v>0</v>
      </c>
      <c r="M175" s="59">
        <f t="shared" si="2084"/>
        <v>59955</v>
      </c>
      <c r="N175" s="59">
        <v>10721</v>
      </c>
      <c r="O175" s="59">
        <v>22500</v>
      </c>
      <c r="P175" s="59">
        <f t="shared" si="2156"/>
        <v>16040</v>
      </c>
      <c r="Q175" s="59">
        <v>4510</v>
      </c>
      <c r="R175" s="59"/>
      <c r="S175" s="59">
        <v>13334</v>
      </c>
      <c r="T175" s="59"/>
      <c r="U175" s="59">
        <v>49</v>
      </c>
      <c r="V175" s="59">
        <f t="shared" si="2157"/>
        <v>1283.67823379129</v>
      </c>
      <c r="W175" s="59">
        <v>11559.58</v>
      </c>
      <c r="X175" s="62">
        <f t="shared" si="2158"/>
        <v>0.66144049882040101</v>
      </c>
      <c r="Y175" s="62">
        <f t="shared" si="2159"/>
        <v>4.6747968694630702</v>
      </c>
      <c r="Z175" s="62">
        <f t="shared" si="2160"/>
        <v>4.6747968694630702</v>
      </c>
      <c r="AA175" s="59">
        <f t="shared" si="2161"/>
        <v>370.34182548827999</v>
      </c>
      <c r="AB175" s="59">
        <v>2248.6300000000001</v>
      </c>
      <c r="AC175" s="59">
        <f t="shared" si="2162"/>
        <v>28.369430995071799</v>
      </c>
      <c r="AD175" s="59"/>
      <c r="AE175" s="59"/>
      <c r="AF175" s="59">
        <v>10</v>
      </c>
      <c r="AG175" s="59">
        <f t="shared" si="2092"/>
        <v>10</v>
      </c>
      <c r="AH175" s="59">
        <f t="shared" si="2163"/>
        <v>16.858981233243998</v>
      </c>
      <c r="AI175" s="59">
        <v>0.91904527559055105</v>
      </c>
      <c r="AJ175" s="59">
        <f t="shared" si="2094"/>
        <v>0.91904527559055105</v>
      </c>
      <c r="AK175" s="59">
        <f t="shared" si="2164"/>
        <v>62.712803233906598</v>
      </c>
      <c r="AL175" s="338"/>
      <c r="AM175" s="59"/>
      <c r="AN175" s="59">
        <v>1000</v>
      </c>
      <c r="AO175" s="62"/>
      <c r="AP175" s="62"/>
      <c r="AQ175" s="59"/>
      <c r="AR175" s="59"/>
      <c r="AS175" s="59"/>
      <c r="AT175" s="189">
        <f>VLOOKUP(B:B,综合进度!B:N,13,0)</f>
        <v>2.2891153085778701e-002</v>
      </c>
      <c r="AU175" s="59">
        <f t="shared" si="2165"/>
        <v>136.75129071137999</v>
      </c>
      <c r="AV175" s="59"/>
      <c r="AW175" s="59"/>
      <c r="AX175" s="59">
        <f t="shared" si="2166"/>
        <v>2899</v>
      </c>
      <c r="AY175" s="59">
        <v>8036</v>
      </c>
      <c r="AZ175" s="59">
        <f t="shared" si="2167"/>
        <v>7521.24168150075</v>
      </c>
      <c r="BA175" s="59">
        <f t="shared" si="2168"/>
        <v>-4622.24168150075</v>
      </c>
      <c r="BB175" s="43">
        <f t="shared" si="2145"/>
        <v>-0.614558323909418</v>
      </c>
      <c r="BC175" s="50">
        <v>1286</v>
      </c>
      <c r="BD175" s="50">
        <f t="shared" si="2169"/>
        <v>-3336.24168150075</v>
      </c>
      <c r="BF175" s="341"/>
      <c r="BG175" s="339"/>
    </row>
    <row r="176" ht="17" customHeight="1">
      <c r="A176" s="46">
        <v>117</v>
      </c>
      <c r="B176" s="82" t="s">
        <v>215</v>
      </c>
      <c r="C176" s="46" t="s">
        <v>93</v>
      </c>
      <c r="D176" s="46">
        <v>2019</v>
      </c>
      <c r="E176" s="46" t="s">
        <v>94</v>
      </c>
      <c r="F176" s="46" t="s">
        <v>146</v>
      </c>
      <c r="G176" s="73">
        <f>17329-5</f>
        <v>17324</v>
      </c>
      <c r="H176" s="59">
        <f t="shared" si="2151"/>
        <v>15591.6</v>
      </c>
      <c r="I176" s="59">
        <f t="shared" si="2080"/>
        <v>0</v>
      </c>
      <c r="J176" s="59">
        <f t="shared" si="2081"/>
        <v>0</v>
      </c>
      <c r="K176" s="59">
        <f t="shared" si="2082"/>
        <v>0</v>
      </c>
      <c r="L176" s="59">
        <f t="shared" si="2083"/>
        <v>15591.6</v>
      </c>
      <c r="M176" s="59">
        <f t="shared" si="2084"/>
        <v>0</v>
      </c>
      <c r="N176" s="59">
        <v>2630</v>
      </c>
      <c r="O176" s="59">
        <v>4119</v>
      </c>
      <c r="P176" s="59">
        <f t="shared" si="2156"/>
        <v>1350.5999999999999</v>
      </c>
      <c r="Q176" s="59">
        <v>2251</v>
      </c>
      <c r="R176" s="59"/>
      <c r="S176" s="59"/>
      <c r="T176" s="59"/>
      <c r="U176" s="59">
        <v>208</v>
      </c>
      <c r="V176" s="59">
        <f t="shared" si="2157"/>
        <v>270.813074376847</v>
      </c>
      <c r="W176" s="59">
        <v>12330.629999999999</v>
      </c>
      <c r="X176" s="62">
        <f t="shared" si="2158"/>
        <v>0.53701779242281</v>
      </c>
      <c r="Y176" s="62">
        <f t="shared" si="2159"/>
        <v>1.0715653030004699</v>
      </c>
      <c r="Z176" s="62">
        <f t="shared" si="2160"/>
        <v>1.0715653030004699</v>
      </c>
      <c r="AA176" s="59">
        <f t="shared" si="2161"/>
        <v>84.890415888525595</v>
      </c>
      <c r="AB176" s="59">
        <v>1510.4000000000001</v>
      </c>
      <c r="AC176" s="59">
        <f t="shared" si="2162"/>
        <v>19.055686606936899</v>
      </c>
      <c r="AD176" s="59"/>
      <c r="AE176" s="59"/>
      <c r="AF176" s="59">
        <v>4</v>
      </c>
      <c r="AG176" s="59">
        <f t="shared" si="2092"/>
        <v>4</v>
      </c>
      <c r="AH176" s="59">
        <f t="shared" si="2163"/>
        <v>6.7435924932975899</v>
      </c>
      <c r="AI176" s="59">
        <v>0.13165942378883</v>
      </c>
      <c r="AJ176" s="59">
        <f t="shared" si="2094"/>
        <v>0.13165942378883</v>
      </c>
      <c r="AK176" s="59">
        <f t="shared" si="2164"/>
        <v>8.9840313173395003</v>
      </c>
      <c r="AL176" s="338"/>
      <c r="AM176" s="59"/>
      <c r="AN176" s="59">
        <v>1000</v>
      </c>
      <c r="AO176" s="62"/>
      <c r="AP176" s="62"/>
      <c r="AQ176" s="59"/>
      <c r="AR176" s="59"/>
      <c r="AS176" s="59"/>
      <c r="AT176" s="189">
        <f>VLOOKUP(B:B,综合进度!B:N,13,0)</f>
        <v>1.42568935380519e-002</v>
      </c>
      <c r="AU176" s="59">
        <f t="shared" si="2165"/>
        <v>85.170396858451397</v>
      </c>
      <c r="AV176" s="59"/>
      <c r="AW176" s="59"/>
      <c r="AX176" s="59">
        <f t="shared" si="2166"/>
        <v>1476</v>
      </c>
      <c r="AY176" s="59">
        <v>5268</v>
      </c>
      <c r="AZ176" s="59">
        <f t="shared" si="2167"/>
        <v>4930.5501714965103</v>
      </c>
      <c r="BA176" s="59">
        <f t="shared" si="2168"/>
        <v>-3454.5501714965098</v>
      </c>
      <c r="BB176" s="43">
        <f t="shared" si="2145"/>
        <v>-0.700641926628645</v>
      </c>
      <c r="BC176" s="50">
        <v>-211</v>
      </c>
      <c r="BD176" s="50">
        <f t="shared" si="2169"/>
        <v>-3665.5501714965098</v>
      </c>
      <c r="BF176" s="341"/>
      <c r="BG176" s="339"/>
    </row>
    <row r="177" ht="17" customHeight="1">
      <c r="A177" s="46">
        <v>118</v>
      </c>
      <c r="B177" s="82" t="s">
        <v>213</v>
      </c>
      <c r="C177" s="46" t="s">
        <v>93</v>
      </c>
      <c r="D177" s="46">
        <v>2020</v>
      </c>
      <c r="E177" s="46" t="s">
        <v>94</v>
      </c>
      <c r="F177" s="46" t="s">
        <v>146</v>
      </c>
      <c r="G177" s="73">
        <f>63159+1097+1522+5</f>
        <v>65783</v>
      </c>
      <c r="H177" s="59">
        <f t="shared" si="2151"/>
        <v>65783</v>
      </c>
      <c r="I177" s="59">
        <f t="shared" si="2080"/>
        <v>0</v>
      </c>
      <c r="J177" s="59">
        <f t="shared" si="2081"/>
        <v>0</v>
      </c>
      <c r="K177" s="59">
        <f t="shared" si="2082"/>
        <v>0</v>
      </c>
      <c r="L177" s="59">
        <f t="shared" si="2083"/>
        <v>0</v>
      </c>
      <c r="M177" s="59">
        <f t="shared" si="2084"/>
        <v>65783</v>
      </c>
      <c r="N177" s="59">
        <v>11166</v>
      </c>
      <c r="O177" s="59">
        <v>29313</v>
      </c>
      <c r="P177" s="59">
        <f t="shared" si="2156"/>
        <v>24667.75</v>
      </c>
      <c r="Q177" s="59">
        <v>8008</v>
      </c>
      <c r="R177" s="59">
        <v>11254</v>
      </c>
      <c r="S177" s="59">
        <f>10012-T177</f>
        <v>6621</v>
      </c>
      <c r="T177" s="59">
        <v>3391</v>
      </c>
      <c r="U177" s="59">
        <v>723</v>
      </c>
      <c r="V177" s="59">
        <f t="shared" si="2157"/>
        <v>1575.41610485399</v>
      </c>
      <c r="W177" s="59">
        <v>12441.940000000001</v>
      </c>
      <c r="X177" s="62">
        <f t="shared" si="2158"/>
        <v>0.51905593333569999</v>
      </c>
      <c r="Y177" s="62">
        <f t="shared" si="2159"/>
        <v>3.9940835014248801</v>
      </c>
      <c r="Z177" s="62">
        <f t="shared" si="2160"/>
        <v>3.9940835014248801</v>
      </c>
      <c r="AA177" s="59">
        <f t="shared" si="2161"/>
        <v>316.41506922635602</v>
      </c>
      <c r="AB177" s="59">
        <v>7953.4499999999998</v>
      </c>
      <c r="AC177" s="59">
        <f t="shared" si="2162"/>
        <v>100.34325386913601</v>
      </c>
      <c r="AD177" s="59"/>
      <c r="AE177" s="59"/>
      <c r="AF177" s="59">
        <v>42</v>
      </c>
      <c r="AG177" s="59">
        <f t="shared" si="2092"/>
        <v>42</v>
      </c>
      <c r="AH177" s="59">
        <f t="shared" si="2163"/>
        <v>70.807721179624707</v>
      </c>
      <c r="AI177" s="59">
        <v>0.93626254407377296</v>
      </c>
      <c r="AJ177" s="59">
        <f t="shared" si="2094"/>
        <v>0.93626254407377296</v>
      </c>
      <c r="AK177" s="59">
        <f t="shared" si="2164"/>
        <v>63.887656311650602</v>
      </c>
      <c r="AL177" s="338"/>
      <c r="AM177" s="59"/>
      <c r="AN177" s="59">
        <v>1000</v>
      </c>
      <c r="AO177" s="62"/>
      <c r="AP177" s="62"/>
      <c r="AQ177" s="59"/>
      <c r="AR177" s="59"/>
      <c r="AS177" s="59"/>
      <c r="AT177" s="189">
        <f>VLOOKUP(B:B,综合进度!B:N,13,0)</f>
        <v>2.61332790281384e-002</v>
      </c>
      <c r="AU177" s="59">
        <f t="shared" si="2165"/>
        <v>156.11968624851801</v>
      </c>
      <c r="AV177" s="59"/>
      <c r="AW177" s="59"/>
      <c r="AX177" s="59">
        <f t="shared" si="2166"/>
        <v>3283</v>
      </c>
      <c r="AY177" s="59">
        <v>14068</v>
      </c>
      <c r="AZ177" s="59">
        <f t="shared" si="2167"/>
        <v>13166.8526599493</v>
      </c>
      <c r="BA177" s="59">
        <f t="shared" si="2168"/>
        <v>-9883.8526599492998</v>
      </c>
      <c r="BB177" s="43">
        <f t="shared" si="2145"/>
        <v>-0.75066175001819702</v>
      </c>
      <c r="BC177" s="50">
        <v>497</v>
      </c>
      <c r="BD177" s="50">
        <f t="shared" si="2169"/>
        <v>-9386.8526599492998</v>
      </c>
      <c r="BF177" s="341"/>
      <c r="BG177" s="339"/>
    </row>
    <row r="178" s="5" customFormat="1" ht="17" customHeight="1">
      <c r="A178" s="65"/>
      <c r="B178" s="66" t="s">
        <v>217</v>
      </c>
      <c r="C178" s="67">
        <v>1</v>
      </c>
      <c r="D178" s="67"/>
      <c r="E178" s="67"/>
      <c r="F178" s="68"/>
      <c r="G178" s="69">
        <f>G179+G180</f>
        <v>68762</v>
      </c>
      <c r="H178" s="69">
        <f>H179+H180</f>
        <v>59039.800000000003</v>
      </c>
      <c r="I178" s="69">
        <f t="shared" ref="I178:U178" si="2170">I179+I180</f>
        <v>0</v>
      </c>
      <c r="J178" s="69">
        <f t="shared" si="2170"/>
        <v>0</v>
      </c>
      <c r="K178" s="69">
        <f t="shared" si="2170"/>
        <v>22768</v>
      </c>
      <c r="L178" s="69">
        <f t="shared" si="2170"/>
        <v>36271.800000000003</v>
      </c>
      <c r="M178" s="69">
        <f t="shared" si="2170"/>
        <v>0</v>
      </c>
      <c r="N178" s="69">
        <f t="shared" si="2170"/>
        <v>7219</v>
      </c>
      <c r="O178" s="69">
        <f t="shared" si="2170"/>
        <v>10729</v>
      </c>
      <c r="P178" s="69">
        <f t="shared" si="2170"/>
        <v>1367.4000000000001</v>
      </c>
      <c r="Q178" s="59">
        <v>2279</v>
      </c>
      <c r="R178" s="69">
        <f>R179+R180</f>
        <v>0</v>
      </c>
      <c r="S178" s="69">
        <f>S179+S180</f>
        <v>0</v>
      </c>
      <c r="T178" s="69">
        <f>T179+T180</f>
        <v>0</v>
      </c>
      <c r="U178" s="69">
        <f>U179+U180</f>
        <v>928</v>
      </c>
      <c r="V178" s="69">
        <f>V179+V180</f>
        <v>809.35421084504605</v>
      </c>
      <c r="W178" s="69"/>
      <c r="X178" s="69">
        <f t="shared" ref="X178:AE178" si="2171">X179+X180</f>
        <v>0.71935059109055699</v>
      </c>
      <c r="Y178" s="69">
        <f t="shared" si="2171"/>
        <v>2.8112969264259302</v>
      </c>
      <c r="Z178" s="69">
        <f t="shared" si="2171"/>
        <v>2.8112969264259302</v>
      </c>
      <c r="AA178" s="69">
        <f t="shared" si="2171"/>
        <v>222.713599070616</v>
      </c>
      <c r="AB178" s="69">
        <f t="shared" si="2171"/>
        <v>3291.7006999999999</v>
      </c>
      <c r="AC178" s="69">
        <f t="shared" si="2171"/>
        <v>41.529142573513496</v>
      </c>
      <c r="AD178" s="69"/>
      <c r="AE178" s="69"/>
      <c r="AF178" s="69">
        <f t="shared" ref="AF178:AS178" si="2172">AF179+AF180</f>
        <v>88</v>
      </c>
      <c r="AG178" s="59">
        <f t="shared" si="2172"/>
        <v>88</v>
      </c>
      <c r="AH178" s="59">
        <f t="shared" si="2172"/>
        <v>148.35903485254701</v>
      </c>
      <c r="AI178" s="69">
        <f t="shared" si="2172"/>
        <v>2.5154756971131902</v>
      </c>
      <c r="AJ178" s="59">
        <f t="shared" si="2172"/>
        <v>2.5154756971131902</v>
      </c>
      <c r="AK178" s="59">
        <f t="shared" si="2172"/>
        <v>171.64827089869601</v>
      </c>
      <c r="AL178" s="69"/>
      <c r="AM178" s="69"/>
      <c r="AN178" s="69">
        <f t="shared" si="2172"/>
        <v>3000</v>
      </c>
      <c r="AO178" s="69"/>
      <c r="AP178" s="69"/>
      <c r="AQ178" s="69">
        <f t="shared" si="2172"/>
        <v>0</v>
      </c>
      <c r="AR178" s="69"/>
      <c r="AS178" s="69">
        <f t="shared" ref="AS178:AU178" si="2173">AS179+AS180</f>
        <v>0</v>
      </c>
      <c r="AT178" s="403">
        <f t="shared" si="2173"/>
        <v>4.8360355877167402e-002</v>
      </c>
      <c r="AU178" s="69">
        <f t="shared" si="2173"/>
        <v>288.90379880308097</v>
      </c>
      <c r="AV178" s="69"/>
      <c r="AW178" s="71"/>
      <c r="AX178" s="69">
        <f>AX179+AX180</f>
        <v>4682</v>
      </c>
      <c r="AY178" s="69">
        <v>18766</v>
      </c>
      <c r="AZ178" s="69">
        <f>AZ179+AZ180</f>
        <v>17563.915056625599</v>
      </c>
      <c r="BA178" s="69">
        <f>BA179+BA180</f>
        <v>-12881.915056625599</v>
      </c>
      <c r="BB178" s="336">
        <f t="shared" si="2145"/>
        <v>-0.73343073085326604</v>
      </c>
      <c r="BC178" s="404">
        <v>919</v>
      </c>
      <c r="BD178" s="69">
        <f>BD179+BD180</f>
        <v>-11965.915056625599</v>
      </c>
      <c r="BG178" s="340"/>
    </row>
    <row r="179" s="5" customFormat="1" ht="17" customHeight="1">
      <c r="A179" s="44"/>
      <c r="B179" s="72" t="s">
        <v>218</v>
      </c>
      <c r="C179" s="46">
        <v>2</v>
      </c>
      <c r="D179" s="46"/>
      <c r="E179" s="46"/>
      <c r="F179" s="46"/>
      <c r="G179" s="73"/>
      <c r="H179" s="59">
        <f t="shared" ref="H179:H183" si="2174">SUM(I179:M179)</f>
        <v>0</v>
      </c>
      <c r="I179" s="59">
        <f t="shared" si="2080"/>
        <v>0</v>
      </c>
      <c r="J179" s="59">
        <f t="shared" si="2081"/>
        <v>0</v>
      </c>
      <c r="K179" s="59">
        <f t="shared" si="2082"/>
        <v>0</v>
      </c>
      <c r="L179" s="59">
        <f t="shared" si="2083"/>
        <v>0</v>
      </c>
      <c r="M179" s="59">
        <f t="shared" si="2084"/>
        <v>0</v>
      </c>
      <c r="N179" s="59"/>
      <c r="O179" s="59"/>
      <c r="P179" s="59">
        <f>L179*0.4+M179*0.6+N179*0.8+O179*1</f>
        <v>0</v>
      </c>
      <c r="Q179" s="59"/>
      <c r="R179" s="59"/>
      <c r="S179" s="59"/>
      <c r="T179" s="59"/>
      <c r="U179" s="59"/>
      <c r="V179" s="59">
        <f>H179/$H$9*134866+N179/$N$9*202299+P179/$P$9*100000+U179/$U$9*34867</f>
        <v>0</v>
      </c>
      <c r="W179" s="59"/>
      <c r="X179" s="62"/>
      <c r="Y179" s="62"/>
      <c r="Z179" s="62"/>
      <c r="AA179" s="59"/>
      <c r="AB179" s="59"/>
      <c r="AC179" s="59"/>
      <c r="AD179" s="59"/>
      <c r="AE179" s="59"/>
      <c r="AF179" s="59"/>
      <c r="AG179" s="59">
        <f t="shared" si="2092"/>
        <v>0</v>
      </c>
      <c r="AH179" s="59">
        <f>AG179/$AG$9*40459.89</f>
        <v>0</v>
      </c>
      <c r="AI179" s="59"/>
      <c r="AJ179" s="59">
        <f t="shared" si="2094"/>
        <v>0</v>
      </c>
      <c r="AK179" s="59">
        <f>AJ179/$AJ$9*40459.89</f>
        <v>0</v>
      </c>
      <c r="AL179" s="59"/>
      <c r="AM179" s="59"/>
      <c r="AN179" s="59"/>
      <c r="AO179" s="62"/>
      <c r="AP179" s="62"/>
      <c r="AQ179" s="59"/>
      <c r="AR179" s="59"/>
      <c r="AS179" s="59"/>
      <c r="AT179" s="189"/>
      <c r="AU179" s="59"/>
      <c r="AV179" s="59"/>
      <c r="AW179" s="59"/>
      <c r="AX179" s="59">
        <f>V179+AA179+AC179+AE179+AH179+AK179+AM179+AN179+AQ179+AS179+AU179+AW179</f>
        <v>0</v>
      </c>
      <c r="AY179" s="59"/>
      <c r="AZ179" s="170"/>
      <c r="BA179" s="50"/>
      <c r="BB179" s="43"/>
      <c r="BC179" s="50">
        <v>3</v>
      </c>
      <c r="BD179" s="50"/>
      <c r="BG179" s="340"/>
    </row>
    <row r="180" s="5" customFormat="1" ht="17" customHeight="1">
      <c r="A180" s="75"/>
      <c r="B180" s="76" t="s">
        <v>76</v>
      </c>
      <c r="C180" s="77">
        <v>3</v>
      </c>
      <c r="D180" s="77"/>
      <c r="E180" s="77"/>
      <c r="F180" s="78"/>
      <c r="G180" s="79">
        <f>SUM(G181:G183)</f>
        <v>68762</v>
      </c>
      <c r="H180" s="79">
        <f>SUM(H181:H183)</f>
        <v>59039.800000000003</v>
      </c>
      <c r="I180" s="79">
        <f t="shared" ref="I180:U180" si="2175">SUM(I181:I183)</f>
        <v>0</v>
      </c>
      <c r="J180" s="79">
        <f t="shared" si="2175"/>
        <v>0</v>
      </c>
      <c r="K180" s="79">
        <f t="shared" si="2175"/>
        <v>22768</v>
      </c>
      <c r="L180" s="79">
        <f t="shared" si="2175"/>
        <v>36271.800000000003</v>
      </c>
      <c r="M180" s="79">
        <f t="shared" si="2175"/>
        <v>0</v>
      </c>
      <c r="N180" s="79">
        <f t="shared" si="2175"/>
        <v>7219</v>
      </c>
      <c r="O180" s="79">
        <f t="shared" si="2175"/>
        <v>10729</v>
      </c>
      <c r="P180" s="79">
        <f t="shared" si="2175"/>
        <v>1367.4000000000001</v>
      </c>
      <c r="Q180" s="59">
        <v>2279</v>
      </c>
      <c r="R180" s="79">
        <f>SUM(R181:R183)</f>
        <v>0</v>
      </c>
      <c r="S180" s="79">
        <f>SUM(S181:S183)</f>
        <v>0</v>
      </c>
      <c r="T180" s="79">
        <f>SUM(T181:T183)</f>
        <v>0</v>
      </c>
      <c r="U180" s="79">
        <f>SUM(U181:U183)</f>
        <v>928</v>
      </c>
      <c r="V180" s="79">
        <f>SUM(V181:V183)</f>
        <v>809.35421084504605</v>
      </c>
      <c r="W180" s="79"/>
      <c r="X180" s="79">
        <f t="shared" ref="X180:AE180" si="2176">SUM(X181:X183)</f>
        <v>0.71935059109055699</v>
      </c>
      <c r="Y180" s="79">
        <f t="shared" si="2176"/>
        <v>2.8112969264259302</v>
      </c>
      <c r="Z180" s="79">
        <f t="shared" si="2176"/>
        <v>2.8112969264259302</v>
      </c>
      <c r="AA180" s="79">
        <f t="shared" si="2176"/>
        <v>222.713599070616</v>
      </c>
      <c r="AB180" s="79">
        <f t="shared" si="2176"/>
        <v>3291.7006999999999</v>
      </c>
      <c r="AC180" s="79">
        <f t="shared" si="2176"/>
        <v>41.529142573513496</v>
      </c>
      <c r="AD180" s="79"/>
      <c r="AE180" s="79"/>
      <c r="AF180" s="79">
        <f t="shared" ref="AF180:AS180" si="2177">SUM(AF181:AF183)</f>
        <v>88</v>
      </c>
      <c r="AG180" s="59">
        <f t="shared" si="2177"/>
        <v>88</v>
      </c>
      <c r="AH180" s="59">
        <f t="shared" si="2177"/>
        <v>148.35903485254701</v>
      </c>
      <c r="AI180" s="79">
        <f t="shared" si="2177"/>
        <v>2.5154756971131902</v>
      </c>
      <c r="AJ180" s="59">
        <f t="shared" si="2177"/>
        <v>2.5154756971131902</v>
      </c>
      <c r="AK180" s="59">
        <f t="shared" si="2177"/>
        <v>171.64827089869601</v>
      </c>
      <c r="AL180" s="79"/>
      <c r="AM180" s="79"/>
      <c r="AN180" s="79">
        <f t="shared" si="2177"/>
        <v>3000</v>
      </c>
      <c r="AO180" s="79"/>
      <c r="AP180" s="79"/>
      <c r="AQ180" s="79">
        <f t="shared" si="2177"/>
        <v>0</v>
      </c>
      <c r="AR180" s="79"/>
      <c r="AS180" s="79">
        <f t="shared" ref="AS180:AU180" si="2178">SUM(AS181:AS183)</f>
        <v>0</v>
      </c>
      <c r="AT180" s="405">
        <f t="shared" si="2178"/>
        <v>4.8360355877167402e-002</v>
      </c>
      <c r="AU180" s="79">
        <f t="shared" si="2178"/>
        <v>288.90379880308097</v>
      </c>
      <c r="AV180" s="79"/>
      <c r="AW180" s="81"/>
      <c r="AX180" s="79">
        <f>SUM(AX181:AX183)</f>
        <v>4682</v>
      </c>
      <c r="AY180" s="79">
        <v>18766</v>
      </c>
      <c r="AZ180" s="79">
        <f>SUM(AZ181:AZ183)</f>
        <v>17563.915056625599</v>
      </c>
      <c r="BA180" s="79">
        <f>SUM(BA181:BA183)</f>
        <v>-12881.915056625599</v>
      </c>
      <c r="BB180" s="337">
        <f t="shared" si="2145"/>
        <v>-0.73343073085326604</v>
      </c>
      <c r="BC180" s="406">
        <v>916</v>
      </c>
      <c r="BD180" s="79">
        <f>SUM(BD181:BD183)</f>
        <v>-11965.915056625599</v>
      </c>
      <c r="BG180" s="340"/>
    </row>
    <row r="181" ht="17" customHeight="1">
      <c r="A181" s="46">
        <v>119</v>
      </c>
      <c r="B181" s="82" t="s">
        <v>219</v>
      </c>
      <c r="C181" s="46" t="s">
        <v>93</v>
      </c>
      <c r="D181" s="46">
        <v>2018</v>
      </c>
      <c r="E181" s="46" t="s">
        <v>94</v>
      </c>
      <c r="F181" s="46"/>
      <c r="G181" s="73">
        <v>16714</v>
      </c>
      <c r="H181" s="59">
        <f t="shared" si="2174"/>
        <v>13371.200000000001</v>
      </c>
      <c r="I181" s="59">
        <f t="shared" si="2080"/>
        <v>0</v>
      </c>
      <c r="J181" s="59">
        <f t="shared" si="2081"/>
        <v>0</v>
      </c>
      <c r="K181" s="59">
        <f t="shared" si="2082"/>
        <v>13371.200000000001</v>
      </c>
      <c r="L181" s="59">
        <f t="shared" si="2083"/>
        <v>0</v>
      </c>
      <c r="M181" s="59">
        <f t="shared" si="2084"/>
        <v>0</v>
      </c>
      <c r="N181" s="59">
        <v>1119</v>
      </c>
      <c r="O181" s="59">
        <v>2321</v>
      </c>
      <c r="P181" s="59">
        <f t="shared" ref="P181:P183" si="2179">Q181*0.6+R181*0.8+S181*1+T181*1.25</f>
        <v>0</v>
      </c>
      <c r="Q181" s="59"/>
      <c r="R181" s="59"/>
      <c r="S181" s="59"/>
      <c r="T181" s="59"/>
      <c r="U181" s="59">
        <v>493</v>
      </c>
      <c r="V181" s="59">
        <f t="shared" ref="V181:V183" si="2180">H181/$H$9*298699*0.12+N181/$N$9*298699*0.15+P181/$P$9*298699*0.035+U181/$U$9*298699*0.025</f>
        <v>164.70971926329099</v>
      </c>
      <c r="W181" s="59">
        <v>15432.809999999999</v>
      </c>
      <c r="X181" s="62">
        <f t="shared" ref="X181:X183" si="2181">($W$64-W181)/($W$64-$W$44)</f>
        <v>3.6425572291198201e-002</v>
      </c>
      <c r="Y181" s="62">
        <f t="shared" ref="Y181:Y183" si="2182">(G181+N181)*X181/10000</f>
        <v>6.4957723066893805e-002</v>
      </c>
      <c r="Z181" s="62">
        <f t="shared" ref="Z181:Z183" si="2183">Y181*1</f>
        <v>6.4957723066893805e-002</v>
      </c>
      <c r="AA181" s="59">
        <f t="shared" ref="AA181:AA183" si="2184">Z181/$Z$9*298699*0.12</f>
        <v>5.1460122037171301</v>
      </c>
      <c r="AB181" s="59">
        <v>684.5</v>
      </c>
      <c r="AC181" s="59">
        <f t="shared" ref="AC181:AC183" si="2185">(AB181/$AB$9*298699*0.03)</f>
        <v>8.6358696255616394</v>
      </c>
      <c r="AD181" s="59"/>
      <c r="AE181" s="59"/>
      <c r="AF181" s="59">
        <v>28</v>
      </c>
      <c r="AG181" s="59">
        <f t="shared" si="2092"/>
        <v>28</v>
      </c>
      <c r="AH181" s="59">
        <f t="shared" ref="AH181:AH183" si="2186">AG181/$AG$9*298699*0.02</f>
        <v>47.2051474530831</v>
      </c>
      <c r="AI181" s="59">
        <v>1</v>
      </c>
      <c r="AJ181" s="59">
        <f t="shared" si="2094"/>
        <v>1</v>
      </c>
      <c r="AK181" s="59">
        <f t="shared" ref="AK181:AK183" si="2187">AJ181/$AJ$9*298699*0.02</f>
        <v>68.236902902970996</v>
      </c>
      <c r="AL181" s="338"/>
      <c r="AM181" s="59"/>
      <c r="AN181" s="59">
        <v>1000</v>
      </c>
      <c r="AO181" s="62"/>
      <c r="AP181" s="62"/>
      <c r="AQ181" s="59"/>
      <c r="AR181" s="59"/>
      <c r="AS181" s="59"/>
      <c r="AT181" s="189">
        <f>VLOOKUP(B:B,综合进度!B:N,13,0)</f>
        <v>1.29663814979052e-002</v>
      </c>
      <c r="AU181" s="59">
        <f t="shared" ref="AU181:AU183" si="2188">AT181/$AT$9*298699*0.02</f>
        <v>77.460903740855898</v>
      </c>
      <c r="AV181" s="59"/>
      <c r="AW181" s="59"/>
      <c r="AX181" s="59">
        <f t="shared" ref="AX181:AX183" si="2189">ROUND(V181+AA181+AC181+AN181+AQ181+AS181+AU181+AW181+AH181+AK181,0)</f>
        <v>1371</v>
      </c>
      <c r="AY181" s="59">
        <v>7627</v>
      </c>
      <c r="AZ181" s="59">
        <f t="shared" ref="AZ181:AZ183" si="2190">AY181/$AY$9*280243</f>
        <v>7138.4408044806196</v>
      </c>
      <c r="BA181" s="59">
        <f t="shared" ref="BA181:BA183" si="2191">AX181-AZ181</f>
        <v>-5767.4408044806196</v>
      </c>
      <c r="BB181" s="43">
        <f t="shared" si="2145"/>
        <v>-0.80794125250160298</v>
      </c>
      <c r="BC181" s="50">
        <v>290</v>
      </c>
      <c r="BD181" s="50">
        <f t="shared" ref="BD181:BD183" si="2192">BC181+BA181</f>
        <v>-5477.4408044806196</v>
      </c>
      <c r="BF181" s="341"/>
      <c r="BG181" s="339"/>
    </row>
    <row r="182" ht="17" customHeight="1">
      <c r="A182" s="46">
        <v>120</v>
      </c>
      <c r="B182" s="82" t="s">
        <v>221</v>
      </c>
      <c r="C182" s="46" t="s">
        <v>93</v>
      </c>
      <c r="D182" s="46">
        <v>2019</v>
      </c>
      <c r="E182" s="46" t="s">
        <v>94</v>
      </c>
      <c r="F182" s="46"/>
      <c r="G182" s="73">
        <v>40302</v>
      </c>
      <c r="H182" s="59">
        <f t="shared" si="2174"/>
        <v>36271.800000000003</v>
      </c>
      <c r="I182" s="59">
        <f t="shared" si="2080"/>
        <v>0</v>
      </c>
      <c r="J182" s="59">
        <f t="shared" si="2081"/>
        <v>0</v>
      </c>
      <c r="K182" s="59">
        <f t="shared" si="2082"/>
        <v>0</v>
      </c>
      <c r="L182" s="59">
        <f t="shared" si="2083"/>
        <v>36271.800000000003</v>
      </c>
      <c r="M182" s="59">
        <f t="shared" si="2084"/>
        <v>0</v>
      </c>
      <c r="N182" s="59">
        <v>4931</v>
      </c>
      <c r="O182" s="59">
        <v>5324</v>
      </c>
      <c r="P182" s="59">
        <f t="shared" si="2179"/>
        <v>1367.4000000000001</v>
      </c>
      <c r="Q182" s="59">
        <v>2279</v>
      </c>
      <c r="R182" s="59"/>
      <c r="S182" s="59"/>
      <c r="T182" s="59"/>
      <c r="U182" s="59">
        <v>256</v>
      </c>
      <c r="V182" s="59">
        <f t="shared" si="2180"/>
        <v>518.25789912482196</v>
      </c>
      <c r="W182" s="59">
        <v>12083.639999999999</v>
      </c>
      <c r="X182" s="62">
        <f t="shared" si="2181"/>
        <v>0.57687404591239</v>
      </c>
      <c r="Y182" s="62">
        <f t="shared" si="2182"/>
        <v>2.6093743718755098</v>
      </c>
      <c r="Z182" s="62">
        <f t="shared" si="2183"/>
        <v>2.6093743718755098</v>
      </c>
      <c r="AA182" s="59">
        <f t="shared" si="2184"/>
        <v>206.71710349068201</v>
      </c>
      <c r="AB182" s="59">
        <v>1210.5007000000001</v>
      </c>
      <c r="AC182" s="59">
        <f t="shared" si="2185"/>
        <v>15.2720616900674</v>
      </c>
      <c r="AD182" s="59"/>
      <c r="AE182" s="59"/>
      <c r="AF182" s="59">
        <v>39</v>
      </c>
      <c r="AG182" s="59">
        <f t="shared" si="2092"/>
        <v>39</v>
      </c>
      <c r="AH182" s="59">
        <f t="shared" si="2186"/>
        <v>65.750026809651501</v>
      </c>
      <c r="AI182" s="59">
        <v>0.52120020516327603</v>
      </c>
      <c r="AJ182" s="59">
        <f t="shared" si="2094"/>
        <v>0.52120020516327603</v>
      </c>
      <c r="AK182" s="59">
        <f t="shared" si="2187"/>
        <v>35.565087792735</v>
      </c>
      <c r="AL182" s="338"/>
      <c r="AM182" s="59"/>
      <c r="AN182" s="59">
        <v>1000</v>
      </c>
      <c r="AO182" s="62"/>
      <c r="AP182" s="62"/>
      <c r="AQ182" s="59"/>
      <c r="AR182" s="59"/>
      <c r="AS182" s="59"/>
      <c r="AT182" s="189">
        <f>VLOOKUP(B:B,综合进度!B:N,13,0)</f>
        <v>2.33353650440076e-002</v>
      </c>
      <c r="AU182" s="59">
        <f t="shared" si="2188"/>
        <v>139.4050040656</v>
      </c>
      <c r="AV182" s="59"/>
      <c r="AW182" s="59"/>
      <c r="AX182" s="59">
        <f t="shared" si="2189"/>
        <v>1981</v>
      </c>
      <c r="AY182" s="59">
        <v>6687</v>
      </c>
      <c r="AZ182" s="59">
        <f t="shared" si="2190"/>
        <v>6258.6539477595197</v>
      </c>
      <c r="BA182" s="59">
        <f t="shared" si="2191"/>
        <v>-4277.6539477595197</v>
      </c>
      <c r="BB182" s="43">
        <f t="shared" si="2145"/>
        <v>-0.68347826600811501</v>
      </c>
      <c r="BC182" s="50">
        <v>204</v>
      </c>
      <c r="BD182" s="50">
        <f t="shared" si="2192"/>
        <v>-4073.6539477595202</v>
      </c>
      <c r="BF182" s="341"/>
      <c r="BG182" s="339"/>
    </row>
    <row r="183" ht="17" customHeight="1">
      <c r="A183" s="46">
        <v>121</v>
      </c>
      <c r="B183" s="82" t="s">
        <v>220</v>
      </c>
      <c r="C183" s="46" t="s">
        <v>93</v>
      </c>
      <c r="D183" s="46">
        <v>2018</v>
      </c>
      <c r="E183" s="46" t="s">
        <v>94</v>
      </c>
      <c r="F183" s="46"/>
      <c r="G183" s="73">
        <v>11746</v>
      </c>
      <c r="H183" s="59">
        <f t="shared" si="2174"/>
        <v>9396.7999999999993</v>
      </c>
      <c r="I183" s="59">
        <f t="shared" si="2080"/>
        <v>0</v>
      </c>
      <c r="J183" s="59">
        <f t="shared" si="2081"/>
        <v>0</v>
      </c>
      <c r="K183" s="59">
        <f t="shared" si="2082"/>
        <v>9396.7999999999993</v>
      </c>
      <c r="L183" s="59">
        <f t="shared" si="2083"/>
        <v>0</v>
      </c>
      <c r="M183" s="59">
        <f t="shared" si="2084"/>
        <v>0</v>
      </c>
      <c r="N183" s="59">
        <v>1169</v>
      </c>
      <c r="O183" s="59">
        <v>3084</v>
      </c>
      <c r="P183" s="59">
        <f t="shared" si="2179"/>
        <v>0</v>
      </c>
      <c r="Q183" s="59"/>
      <c r="R183" s="59"/>
      <c r="S183" s="59"/>
      <c r="T183" s="59"/>
      <c r="U183" s="59">
        <v>179</v>
      </c>
      <c r="V183" s="59">
        <f t="shared" si="2180"/>
        <v>126.386592456933</v>
      </c>
      <c r="W183" s="59">
        <v>15001.34</v>
      </c>
      <c r="X183" s="62">
        <f t="shared" si="2181"/>
        <v>0.10605097288696801</v>
      </c>
      <c r="Y183" s="62">
        <f t="shared" si="2182"/>
        <v>0.13696483148352001</v>
      </c>
      <c r="Z183" s="62">
        <f t="shared" si="2183"/>
        <v>0.13696483148352001</v>
      </c>
      <c r="AA183" s="59">
        <f t="shared" si="2184"/>
        <v>10.8504833762172</v>
      </c>
      <c r="AB183" s="59">
        <v>1396.7</v>
      </c>
      <c r="AC183" s="59">
        <f t="shared" si="2185"/>
        <v>17.6212112578845</v>
      </c>
      <c r="AD183" s="59"/>
      <c r="AE183" s="59"/>
      <c r="AF183" s="59">
        <v>21</v>
      </c>
      <c r="AG183" s="59">
        <f t="shared" si="2092"/>
        <v>21</v>
      </c>
      <c r="AH183" s="59">
        <f t="shared" si="2186"/>
        <v>35.403860589812297</v>
      </c>
      <c r="AI183" s="59">
        <v>0.99427549194991105</v>
      </c>
      <c r="AJ183" s="59">
        <f t="shared" si="2094"/>
        <v>0.99427549194991105</v>
      </c>
      <c r="AK183" s="59">
        <f t="shared" si="2187"/>
        <v>67.846280202989803</v>
      </c>
      <c r="AL183" s="338"/>
      <c r="AM183" s="59"/>
      <c r="AN183" s="59">
        <v>1000</v>
      </c>
      <c r="AO183" s="62"/>
      <c r="AP183" s="62"/>
      <c r="AQ183" s="59"/>
      <c r="AR183" s="59"/>
      <c r="AS183" s="59"/>
      <c r="AT183" s="189">
        <f>VLOOKUP(B:B,综合进度!B:N,13,0)</f>
        <v>1.20586093352547e-002</v>
      </c>
      <c r="AU183" s="59">
        <f t="shared" si="2188"/>
        <v>72.037890996624597</v>
      </c>
      <c r="AV183" s="59"/>
      <c r="AW183" s="59"/>
      <c r="AX183" s="59">
        <f t="shared" si="2189"/>
        <v>1330</v>
      </c>
      <c r="AY183" s="59">
        <v>4452</v>
      </c>
      <c r="AZ183" s="59">
        <f t="shared" si="2190"/>
        <v>4166.8203043854301</v>
      </c>
      <c r="BA183" s="59">
        <f t="shared" si="2191"/>
        <v>-2836.8203043854301</v>
      </c>
      <c r="BB183" s="43">
        <f t="shared" si="2145"/>
        <v>-0.68081176944438404</v>
      </c>
      <c r="BC183" s="50">
        <v>422</v>
      </c>
      <c r="BD183" s="50">
        <f t="shared" si="2192"/>
        <v>-2414.8203043854301</v>
      </c>
      <c r="BF183" s="341"/>
      <c r="BG183" s="339"/>
    </row>
    <row r="184" s="5" customFormat="1" ht="17" customHeight="1">
      <c r="A184" s="65"/>
      <c r="B184" s="66" t="s">
        <v>222</v>
      </c>
      <c r="C184" s="67">
        <v>1</v>
      </c>
      <c r="D184" s="67"/>
      <c r="E184" s="67"/>
      <c r="F184" s="68"/>
      <c r="G184" s="69">
        <f>G185+G186</f>
        <v>332572</v>
      </c>
      <c r="H184" s="69">
        <f>H185+H186</f>
        <v>266580.20000000001</v>
      </c>
      <c r="I184" s="69">
        <f t="shared" ref="I184:U184" si="2193">I185+I186</f>
        <v>0</v>
      </c>
      <c r="J184" s="69">
        <f t="shared" si="2193"/>
        <v>29764.700000000001</v>
      </c>
      <c r="K184" s="69">
        <f t="shared" si="2193"/>
        <v>193843.20000000001</v>
      </c>
      <c r="L184" s="69">
        <f t="shared" si="2193"/>
        <v>42972.300000000003</v>
      </c>
      <c r="M184" s="69">
        <f t="shared" si="2193"/>
        <v>0</v>
      </c>
      <c r="N184" s="69">
        <f t="shared" si="2193"/>
        <v>38323</v>
      </c>
      <c r="O184" s="69">
        <f t="shared" si="2193"/>
        <v>21233</v>
      </c>
      <c r="P184" s="69">
        <f t="shared" si="2193"/>
        <v>0</v>
      </c>
      <c r="Q184" s="59">
        <v>0</v>
      </c>
      <c r="R184" s="69">
        <f>R185+R186</f>
        <v>0</v>
      </c>
      <c r="S184" s="69">
        <f>S185+S186</f>
        <v>0</v>
      </c>
      <c r="T184" s="69">
        <f>T185+T186</f>
        <v>0</v>
      </c>
      <c r="U184" s="69">
        <f>U185+U186</f>
        <v>5669</v>
      </c>
      <c r="V184" s="69">
        <f>V185+V186</f>
        <v>3873.1616597748798</v>
      </c>
      <c r="W184" s="69"/>
      <c r="X184" s="69">
        <f t="shared" ref="X184:AE184" si="2194">X185+X186</f>
        <v>4.8279285850295803</v>
      </c>
      <c r="Y184" s="69">
        <f t="shared" si="2194"/>
        <v>22.550560991250599</v>
      </c>
      <c r="Z184" s="69">
        <f t="shared" si="2194"/>
        <v>16.799945298708099</v>
      </c>
      <c r="AA184" s="69">
        <f t="shared" si="2194"/>
        <v>1330.9075418161201</v>
      </c>
      <c r="AB184" s="69">
        <f t="shared" si="2194"/>
        <v>11356.93</v>
      </c>
      <c r="AC184" s="69">
        <f t="shared" si="2194"/>
        <v>143.28263962984599</v>
      </c>
      <c r="AD184" s="69"/>
      <c r="AE184" s="69"/>
      <c r="AF184" s="69">
        <f t="shared" ref="AF184:AS184" si="2195">AF185+AF186</f>
        <v>352</v>
      </c>
      <c r="AG184" s="59">
        <f t="shared" si="2195"/>
        <v>352</v>
      </c>
      <c r="AH184" s="59">
        <f t="shared" si="2195"/>
        <v>593.43613941018805</v>
      </c>
      <c r="AI184" s="69">
        <f t="shared" si="2195"/>
        <v>8</v>
      </c>
      <c r="AJ184" s="59">
        <f t="shared" si="2195"/>
        <v>8</v>
      </c>
      <c r="AK184" s="59">
        <f t="shared" si="2195"/>
        <v>545.89522322376797</v>
      </c>
      <c r="AL184" s="69"/>
      <c r="AM184" s="69"/>
      <c r="AN184" s="69">
        <f t="shared" si="2195"/>
        <v>9000</v>
      </c>
      <c r="AO184" s="69"/>
      <c r="AP184" s="69"/>
      <c r="AQ184" s="69">
        <f t="shared" si="2195"/>
        <v>0</v>
      </c>
      <c r="AR184" s="69"/>
      <c r="AS184" s="69">
        <f t="shared" ref="AS184:AU184" si="2196">AS185+AS186</f>
        <v>0</v>
      </c>
      <c r="AT184" s="403">
        <f t="shared" si="2196"/>
        <v>4.9615536329593299e-002</v>
      </c>
      <c r="AU184" s="69">
        <f t="shared" si="2196"/>
        <v>296.40222172226299</v>
      </c>
      <c r="AV184" s="69"/>
      <c r="AW184" s="71"/>
      <c r="AX184" s="69">
        <f>AX185+AX186</f>
        <v>15782</v>
      </c>
      <c r="AY184" s="69">
        <v>10517</v>
      </c>
      <c r="AZ184" s="69">
        <f>AZ185+AZ186</f>
        <v>9843.3174171656792</v>
      </c>
      <c r="BA184" s="69">
        <f>BA185+BA186</f>
        <v>5938.6825828343199</v>
      </c>
      <c r="BB184" s="336">
        <f t="shared" si="2145"/>
        <v>0.603321251479496</v>
      </c>
      <c r="BC184" s="404">
        <v>-7314</v>
      </c>
      <c r="BD184" s="69">
        <f>BD185+BD186</f>
        <v>-1376.3174171656799</v>
      </c>
    </row>
    <row r="185" s="5" customFormat="1" ht="17" customHeight="1">
      <c r="A185" s="44"/>
      <c r="B185" s="72" t="s">
        <v>223</v>
      </c>
      <c r="C185" s="46">
        <v>2</v>
      </c>
      <c r="D185" s="46"/>
      <c r="E185" s="46"/>
      <c r="F185" s="46"/>
      <c r="G185" s="73"/>
      <c r="H185" s="59">
        <f t="shared" ref="H185:H194" si="2197">SUM(I185:M185)</f>
        <v>0</v>
      </c>
      <c r="I185" s="59">
        <f>IF(D185="",G185*0.6,0)</f>
        <v>0</v>
      </c>
      <c r="J185" s="59">
        <f>IF(D185=2017,G185*0.7,0)</f>
        <v>0</v>
      </c>
      <c r="K185" s="59">
        <f>IF(D185=2018,G185*0.8,0)</f>
        <v>0</v>
      </c>
      <c r="L185" s="59">
        <f>IF(D185=2019,G185*0.9,0)</f>
        <v>0</v>
      </c>
      <c r="M185" s="59">
        <f>IF(D185=2020,G185*1,0)</f>
        <v>0</v>
      </c>
      <c r="N185" s="59"/>
      <c r="O185" s="59"/>
      <c r="P185" s="59">
        <f>L185*0.4+M185*0.6+N185*0.8+O185*1</f>
        <v>0</v>
      </c>
      <c r="Q185" s="59"/>
      <c r="R185" s="59"/>
      <c r="S185" s="59"/>
      <c r="T185" s="59"/>
      <c r="U185" s="59"/>
      <c r="V185" s="59">
        <f>H185/$H$9*134866+N185/$N$9*202299+P185/$P$9*100000+U185/$U$9*34867</f>
        <v>0</v>
      </c>
      <c r="W185" s="59"/>
      <c r="X185" s="62"/>
      <c r="Y185" s="62"/>
      <c r="Z185" s="62"/>
      <c r="AA185" s="59"/>
      <c r="AB185" s="59"/>
      <c r="AC185" s="59"/>
      <c r="AD185" s="59"/>
      <c r="AE185" s="59"/>
      <c r="AF185" s="59"/>
      <c r="AG185" s="59">
        <f>AF185</f>
        <v>0</v>
      </c>
      <c r="AH185" s="59">
        <f>AG185/$AG$9*40459.89</f>
        <v>0</v>
      </c>
      <c r="AI185" s="59"/>
      <c r="AJ185" s="59">
        <f>AI185</f>
        <v>0</v>
      </c>
      <c r="AK185" s="59">
        <f>AJ185/$AJ$9*40459.89</f>
        <v>0</v>
      </c>
      <c r="AL185" s="59"/>
      <c r="AM185" s="59"/>
      <c r="AN185" s="59"/>
      <c r="AO185" s="62"/>
      <c r="AP185" s="62"/>
      <c r="AQ185" s="59"/>
      <c r="AR185" s="59"/>
      <c r="AS185" s="59"/>
      <c r="AT185" s="189"/>
      <c r="AU185" s="59"/>
      <c r="AV185" s="59"/>
      <c r="AW185" s="59"/>
      <c r="AX185" s="59">
        <f>V185+AA185+AC185+AE185+AH185+AK185+AM185+AN185+AQ185+AS185+AU185+AW185</f>
        <v>0</v>
      </c>
      <c r="AY185" s="59"/>
      <c r="AZ185" s="170"/>
      <c r="BA185" s="50"/>
      <c r="BB185" s="43"/>
      <c r="BC185" s="50">
        <v>1</v>
      </c>
      <c r="BD185" s="50"/>
    </row>
    <row r="186" s="5" customFormat="1" ht="17" customHeight="1">
      <c r="A186" s="75"/>
      <c r="B186" s="76" t="s">
        <v>76</v>
      </c>
      <c r="C186" s="77">
        <v>3</v>
      </c>
      <c r="D186" s="77"/>
      <c r="E186" s="77"/>
      <c r="F186" s="78"/>
      <c r="G186" s="79">
        <f>SUM(G187:G194)</f>
        <v>332572</v>
      </c>
      <c r="H186" s="79">
        <f>SUM(H187:H194)</f>
        <v>266580.20000000001</v>
      </c>
      <c r="I186" s="79">
        <f t="shared" ref="I186:U186" si="2198">SUM(I187:I194)</f>
        <v>0</v>
      </c>
      <c r="J186" s="79">
        <f t="shared" si="2198"/>
        <v>29764.700000000001</v>
      </c>
      <c r="K186" s="79">
        <f t="shared" si="2198"/>
        <v>193843.20000000001</v>
      </c>
      <c r="L186" s="79">
        <f t="shared" si="2198"/>
        <v>42972.300000000003</v>
      </c>
      <c r="M186" s="79">
        <f t="shared" si="2198"/>
        <v>0</v>
      </c>
      <c r="N186" s="79">
        <f t="shared" si="2198"/>
        <v>38323</v>
      </c>
      <c r="O186" s="79">
        <f t="shared" si="2198"/>
        <v>21233</v>
      </c>
      <c r="P186" s="79">
        <f t="shared" si="2198"/>
        <v>0</v>
      </c>
      <c r="Q186" s="59">
        <v>0</v>
      </c>
      <c r="R186" s="79">
        <f>SUM(R187:R194)</f>
        <v>0</v>
      </c>
      <c r="S186" s="79">
        <f>SUM(S187:S194)</f>
        <v>0</v>
      </c>
      <c r="T186" s="79">
        <f>SUM(T187:T194)</f>
        <v>0</v>
      </c>
      <c r="U186" s="79">
        <f>SUM(U187:U194)</f>
        <v>5669</v>
      </c>
      <c r="V186" s="79">
        <f>SUM(V187:V194)</f>
        <v>3873.1616597748798</v>
      </c>
      <c r="W186" s="79"/>
      <c r="X186" s="79">
        <f t="shared" ref="X186:AE186" si="2199">SUM(X187:X194)</f>
        <v>4.8279285850295803</v>
      </c>
      <c r="Y186" s="79">
        <f t="shared" si="2199"/>
        <v>22.550560991250599</v>
      </c>
      <c r="Z186" s="79">
        <f t="shared" si="2199"/>
        <v>16.799945298708099</v>
      </c>
      <c r="AA186" s="79">
        <f t="shared" si="2199"/>
        <v>1330.9075418161201</v>
      </c>
      <c r="AB186" s="79">
        <f t="shared" si="2199"/>
        <v>11356.93</v>
      </c>
      <c r="AC186" s="79">
        <f t="shared" si="2199"/>
        <v>143.28263962984599</v>
      </c>
      <c r="AD186" s="79"/>
      <c r="AE186" s="79"/>
      <c r="AF186" s="79">
        <f t="shared" ref="AF186:AS186" si="2200">SUM(AF187:AF194)</f>
        <v>352</v>
      </c>
      <c r="AG186" s="59">
        <f t="shared" si="2200"/>
        <v>352</v>
      </c>
      <c r="AH186" s="59">
        <f t="shared" si="2200"/>
        <v>593.43613941018805</v>
      </c>
      <c r="AI186" s="79">
        <f t="shared" si="2200"/>
        <v>8</v>
      </c>
      <c r="AJ186" s="59">
        <f t="shared" si="2200"/>
        <v>8</v>
      </c>
      <c r="AK186" s="59">
        <f t="shared" si="2200"/>
        <v>545.89522322376797</v>
      </c>
      <c r="AL186" s="79"/>
      <c r="AM186" s="79"/>
      <c r="AN186" s="79">
        <f t="shared" si="2200"/>
        <v>9000</v>
      </c>
      <c r="AO186" s="79"/>
      <c r="AP186" s="79"/>
      <c r="AQ186" s="79">
        <f t="shared" si="2200"/>
        <v>0</v>
      </c>
      <c r="AR186" s="79"/>
      <c r="AS186" s="79">
        <f t="shared" ref="AS186:AU186" si="2201">SUM(AS187:AS194)</f>
        <v>0</v>
      </c>
      <c r="AT186" s="405">
        <f t="shared" si="2201"/>
        <v>4.9615536329593299e-002</v>
      </c>
      <c r="AU186" s="79">
        <f t="shared" si="2201"/>
        <v>296.40222172226299</v>
      </c>
      <c r="AV186" s="79"/>
      <c r="AW186" s="81"/>
      <c r="AX186" s="79">
        <f>SUM(AX187:AX194)</f>
        <v>15782</v>
      </c>
      <c r="AY186" s="79">
        <v>10517</v>
      </c>
      <c r="AZ186" s="79">
        <f>SUM(AZ187:AZ194)</f>
        <v>9843.3174171656792</v>
      </c>
      <c r="BA186" s="79">
        <f>SUM(BA187:BA194)</f>
        <v>5938.6825828343199</v>
      </c>
      <c r="BB186" s="337">
        <f t="shared" si="2145"/>
        <v>0.603321251479496</v>
      </c>
      <c r="BC186" s="406">
        <v>-7315</v>
      </c>
      <c r="BD186" s="79">
        <f>SUM(BD187:BD194)</f>
        <v>-1376.3174171656799</v>
      </c>
    </row>
    <row r="187" ht="17" customHeight="1">
      <c r="A187" s="46">
        <v>122</v>
      </c>
      <c r="B187" s="82" t="s">
        <v>225</v>
      </c>
      <c r="C187" s="46" t="s">
        <v>90</v>
      </c>
      <c r="D187" s="46">
        <v>2018</v>
      </c>
      <c r="E187" s="46" t="s">
        <v>91</v>
      </c>
      <c r="F187" s="46"/>
      <c r="G187" s="73">
        <v>67610</v>
      </c>
      <c r="H187" s="59">
        <f t="shared" si="2197"/>
        <v>54088</v>
      </c>
      <c r="I187" s="59">
        <f t="shared" ref="I187:I194" si="2202">IF(D187="",G187*0.6,0)</f>
        <v>0</v>
      </c>
      <c r="J187" s="59">
        <f t="shared" ref="J187:J194" si="2203">IF(D187=2017,G187*0.7,0)</f>
        <v>0</v>
      </c>
      <c r="K187" s="59">
        <f t="shared" ref="K187:K194" si="2204">IF(D187=2018,G187*0.8,0)</f>
        <v>54088</v>
      </c>
      <c r="L187" s="59">
        <f t="shared" ref="L187:L194" si="2205">IF(D187=2019,G187*0.9,0)</f>
        <v>0</v>
      </c>
      <c r="M187" s="59">
        <f t="shared" ref="M187:M194" si="2206">IF(D187=2020,G187*1,0)</f>
        <v>0</v>
      </c>
      <c r="N187" s="59">
        <v>7366</v>
      </c>
      <c r="O187" s="59">
        <v>3875</v>
      </c>
      <c r="P187" s="59">
        <f t="shared" ref="P187:P194" si="2207">Q187*0.6+R187*0.8+S187*1+T187*1.25</f>
        <v>0</v>
      </c>
      <c r="Q187" s="59"/>
      <c r="R187" s="59"/>
      <c r="S187" s="59"/>
      <c r="T187" s="59"/>
      <c r="U187" s="59">
        <v>1831</v>
      </c>
      <c r="V187" s="59">
        <f t="shared" ref="V187:V194" si="2208">H187/$H$9*298699*0.12+N187/$N$9*298699*0.15+P187/$P$9*298699*0.035+U187/$U$9*298699*0.025</f>
        <v>799.85869505475398</v>
      </c>
      <c r="W187" s="59">
        <v>11668.25</v>
      </c>
      <c r="X187" s="62">
        <f t="shared" ref="X187:X194" si="2209">($W$64-W187)/($W$64-$W$44)</f>
        <v>0.64390465094513205</v>
      </c>
      <c r="Y187" s="62">
        <f t="shared" ref="Y187:Y194" si="2210">(G187+N187)*X187/10000</f>
        <v>4.8277395109262198</v>
      </c>
      <c r="Z187" s="62">
        <f>Y187*1</f>
        <v>4.8277395109262198</v>
      </c>
      <c r="AA187" s="59">
        <f t="shared" ref="AA187:AA194" si="2211">Z187/$Z$9*298699*0.12</f>
        <v>382.45808606945201</v>
      </c>
      <c r="AB187" s="59">
        <v>2063.2800000000002</v>
      </c>
      <c r="AC187" s="59">
        <f t="shared" ref="AC187:AC194" si="2212">(AB187/$AB$9*298699*0.03)</f>
        <v>26.030996466075699</v>
      </c>
      <c r="AD187" s="59"/>
      <c r="AE187" s="59"/>
      <c r="AF187" s="59">
        <v>80</v>
      </c>
      <c r="AG187" s="59">
        <f t="shared" ref="AG187:AG194" si="2213">AF187</f>
        <v>80</v>
      </c>
      <c r="AH187" s="59">
        <f t="shared" ref="AH187:AH194" si="2214">AG187/$AG$9*298699*0.02</f>
        <v>134.87184986595199</v>
      </c>
      <c r="AI187" s="59">
        <v>1</v>
      </c>
      <c r="AJ187" s="59">
        <f t="shared" ref="AJ187:AJ194" si="2215">AI187</f>
        <v>1</v>
      </c>
      <c r="AK187" s="59">
        <f t="shared" ref="AK187:AK194" si="2216">AJ187/$AJ$9*298699*0.02</f>
        <v>68.236902902970996</v>
      </c>
      <c r="AL187" s="338"/>
      <c r="AM187" s="59"/>
      <c r="AN187" s="59">
        <v>3000</v>
      </c>
      <c r="AO187" s="62"/>
      <c r="AP187" s="62"/>
      <c r="AQ187" s="59"/>
      <c r="AR187" s="59"/>
      <c r="AS187" s="59"/>
      <c r="AT187" s="189">
        <f>VLOOKUP(B:B,综合进度!B:N,13,0)</f>
        <v>7.4412402512724699e-003</v>
      </c>
      <c r="AU187" s="59">
        <f t="shared" ref="AU187:AU194" si="2217">AT187/$AT$9*298699*0.02</f>
        <v>44.453820436296702</v>
      </c>
      <c r="AV187" s="59"/>
      <c r="AW187" s="59"/>
      <c r="AX187" s="59">
        <f t="shared" ref="AX187:AX194" si="2218">ROUND(V187+AA187+AC187+AN187+AQ187+AS187+AU187+AW187+AH187+AK187,0)</f>
        <v>4456</v>
      </c>
      <c r="AY187" s="59">
        <v>1404</v>
      </c>
      <c r="AZ187" s="59">
        <f t="shared" ref="AZ187:AZ194" si="2219">AY187/$AY$9*280243</f>
        <v>1314.06462429406</v>
      </c>
      <c r="BA187" s="59">
        <f t="shared" ref="BA187:BA194" si="2220">AX187-AZ187</f>
        <v>3141.9353757059398</v>
      </c>
      <c r="BB187" s="43">
        <f t="shared" si="2145"/>
        <v>2.39100521969675</v>
      </c>
      <c r="BC187" s="50">
        <v>379</v>
      </c>
      <c r="BD187" s="50">
        <f t="shared" ref="BD187:BD194" si="2221">BC187+BA187</f>
        <v>3520.9353757059398</v>
      </c>
    </row>
    <row r="188" ht="17" customHeight="1">
      <c r="A188" s="46">
        <v>123</v>
      </c>
      <c r="B188" s="82" t="s">
        <v>226</v>
      </c>
      <c r="C188" s="46" t="s">
        <v>90</v>
      </c>
      <c r="D188" s="46">
        <v>2017</v>
      </c>
      <c r="E188" s="46"/>
      <c r="F188" s="46"/>
      <c r="G188" s="73">
        <v>42521</v>
      </c>
      <c r="H188" s="59">
        <f t="shared" si="2197"/>
        <v>29764.700000000001</v>
      </c>
      <c r="I188" s="59">
        <f t="shared" si="2202"/>
        <v>0</v>
      </c>
      <c r="J188" s="59">
        <f t="shared" si="2203"/>
        <v>29764.700000000001</v>
      </c>
      <c r="K188" s="59">
        <f t="shared" si="2204"/>
        <v>0</v>
      </c>
      <c r="L188" s="59">
        <f t="shared" si="2205"/>
        <v>0</v>
      </c>
      <c r="M188" s="59">
        <f t="shared" si="2206"/>
        <v>0</v>
      </c>
      <c r="N188" s="59">
        <v>5322</v>
      </c>
      <c r="O188" s="59">
        <v>1690</v>
      </c>
      <c r="P188" s="59">
        <f t="shared" si="2207"/>
        <v>0</v>
      </c>
      <c r="Q188" s="59"/>
      <c r="R188" s="59"/>
      <c r="S188" s="59"/>
      <c r="T188" s="59"/>
      <c r="U188" s="59">
        <v>0</v>
      </c>
      <c r="V188" s="59">
        <f t="shared" si="2208"/>
        <v>452.51292721259699</v>
      </c>
      <c r="W188" s="59">
        <v>11899.709999999999</v>
      </c>
      <c r="X188" s="62">
        <f t="shared" si="2209"/>
        <v>0.60655444068277997</v>
      </c>
      <c r="Y188" s="62">
        <f t="shared" si="2210"/>
        <v>2.9019384105586199</v>
      </c>
      <c r="Z188" s="62">
        <f t="shared" ref="Z188:Z193" si="2222">Y188*0.5</f>
        <v>1.4509692052793099</v>
      </c>
      <c r="AA188" s="59">
        <f t="shared" si="2211"/>
        <v>114.947151548028</v>
      </c>
      <c r="AB188" s="59">
        <v>540.89999999999998</v>
      </c>
      <c r="AC188" s="59">
        <f t="shared" si="2212"/>
        <v>6.82416637029407</v>
      </c>
      <c r="AD188" s="59"/>
      <c r="AE188" s="59"/>
      <c r="AF188" s="59">
        <v>60</v>
      </c>
      <c r="AG188" s="59">
        <f t="shared" si="2213"/>
        <v>60</v>
      </c>
      <c r="AH188" s="59">
        <f t="shared" si="2214"/>
        <v>101.153887399464</v>
      </c>
      <c r="AI188" s="59">
        <v>1</v>
      </c>
      <c r="AJ188" s="59">
        <f t="shared" si="2215"/>
        <v>1</v>
      </c>
      <c r="AK188" s="59">
        <f t="shared" si="2216"/>
        <v>68.236902902970996</v>
      </c>
      <c r="AL188" s="338"/>
      <c r="AM188" s="59"/>
      <c r="AN188" s="59"/>
      <c r="AO188" s="62"/>
      <c r="AP188" s="62"/>
      <c r="AQ188" s="59"/>
      <c r="AR188" s="59"/>
      <c r="AS188" s="59"/>
      <c r="AT188" s="189">
        <f>VLOOKUP(B:B,综合进度!B:N,13,0)</f>
        <v>3.9639457309076096e-003</v>
      </c>
      <c r="AU188" s="59">
        <f t="shared" si="2217"/>
        <v>23.6805325175274</v>
      </c>
      <c r="AV188" s="59"/>
      <c r="AW188" s="59"/>
      <c r="AX188" s="59">
        <f t="shared" si="2218"/>
        <v>767</v>
      </c>
      <c r="AY188" s="59">
        <v>531</v>
      </c>
      <c r="AZ188" s="59">
        <f t="shared" si="2219"/>
        <v>496.98597970095801</v>
      </c>
      <c r="BA188" s="59">
        <f t="shared" si="2220"/>
        <v>270.01402029904199</v>
      </c>
      <c r="BB188" s="43">
        <f t="shared" si="2145"/>
        <v>0.54330309370399599</v>
      </c>
      <c r="BC188" s="50">
        <v>2342</v>
      </c>
      <c r="BD188" s="50">
        <f t="shared" si="2221"/>
        <v>2612.0140202990401</v>
      </c>
    </row>
    <row r="189" ht="17" customHeight="1">
      <c r="A189" s="46">
        <v>124</v>
      </c>
      <c r="B189" s="82" t="s">
        <v>224</v>
      </c>
      <c r="C189" s="46" t="s">
        <v>90</v>
      </c>
      <c r="D189" s="46">
        <v>2018</v>
      </c>
      <c r="E189" s="46"/>
      <c r="F189" s="46"/>
      <c r="G189" s="73">
        <v>38517</v>
      </c>
      <c r="H189" s="59">
        <f t="shared" si="2197"/>
        <v>30813.599999999999</v>
      </c>
      <c r="I189" s="59">
        <f t="shared" si="2202"/>
        <v>0</v>
      </c>
      <c r="J189" s="59">
        <f t="shared" si="2203"/>
        <v>0</v>
      </c>
      <c r="K189" s="59">
        <f t="shared" si="2204"/>
        <v>30813.599999999999</v>
      </c>
      <c r="L189" s="59">
        <f t="shared" si="2205"/>
        <v>0</v>
      </c>
      <c r="M189" s="59">
        <f t="shared" si="2206"/>
        <v>0</v>
      </c>
      <c r="N189" s="59">
        <v>4272</v>
      </c>
      <c r="O189" s="59">
        <v>4109</v>
      </c>
      <c r="P189" s="59">
        <f t="shared" si="2207"/>
        <v>0</v>
      </c>
      <c r="Q189" s="59"/>
      <c r="R189" s="59"/>
      <c r="S189" s="59"/>
      <c r="T189" s="59"/>
      <c r="U189" s="59">
        <v>827</v>
      </c>
      <c r="V189" s="59">
        <f t="shared" si="2208"/>
        <v>448.51029484985099</v>
      </c>
      <c r="W189" s="59">
        <v>12342.84</v>
      </c>
      <c r="X189" s="62">
        <f t="shared" si="2209"/>
        <v>0.53504749056804701</v>
      </c>
      <c r="Y189" s="62">
        <f t="shared" si="2210"/>
        <v>2.2894147073916198</v>
      </c>
      <c r="Z189" s="62">
        <f t="shared" si="2222"/>
        <v>1.1447073536958099</v>
      </c>
      <c r="AA189" s="59">
        <f t="shared" si="2211"/>
        <v>90.684798260818397</v>
      </c>
      <c r="AB189" s="59">
        <v>3068.3000000000002</v>
      </c>
      <c r="AC189" s="59">
        <f t="shared" si="2212"/>
        <v>38.710648315720697</v>
      </c>
      <c r="AD189" s="59"/>
      <c r="AE189" s="59"/>
      <c r="AF189" s="59">
        <v>58</v>
      </c>
      <c r="AG189" s="59">
        <f t="shared" si="2213"/>
        <v>58</v>
      </c>
      <c r="AH189" s="59">
        <f t="shared" si="2214"/>
        <v>97.782091152814999</v>
      </c>
      <c r="AI189" s="59">
        <v>1</v>
      </c>
      <c r="AJ189" s="59">
        <f t="shared" si="2215"/>
        <v>1</v>
      </c>
      <c r="AK189" s="59">
        <f t="shared" si="2216"/>
        <v>68.236902902970996</v>
      </c>
      <c r="AL189" s="338"/>
      <c r="AM189" s="59"/>
      <c r="AN189" s="59"/>
      <c r="AO189" s="62"/>
      <c r="AP189" s="62"/>
      <c r="AQ189" s="59"/>
      <c r="AR189" s="59"/>
      <c r="AS189" s="59"/>
      <c r="AT189" s="189">
        <f>VLOOKUP(B:B,综合进度!B:N,13,0)</f>
        <v>4.02462637761326e-003</v>
      </c>
      <c r="AU189" s="59">
        <f t="shared" si="2217"/>
        <v>24.043037487334001</v>
      </c>
      <c r="AV189" s="59"/>
      <c r="AW189" s="59"/>
      <c r="AX189" s="59">
        <f t="shared" si="2218"/>
        <v>768</v>
      </c>
      <c r="AY189" s="59">
        <v>698</v>
      </c>
      <c r="AZ189" s="59">
        <f t="shared" si="2219"/>
        <v>653.28853828864203</v>
      </c>
      <c r="BA189" s="59">
        <f t="shared" si="2220"/>
        <v>114.711461711358</v>
      </c>
      <c r="BB189" s="43">
        <f t="shared" si="2145"/>
        <v>0.17559080710624</v>
      </c>
      <c r="BC189" s="50">
        <v>2267</v>
      </c>
      <c r="BD189" s="50">
        <f t="shared" si="2221"/>
        <v>2381.7114617113598</v>
      </c>
    </row>
    <row r="190" ht="17" customHeight="1">
      <c r="A190" s="46">
        <v>125</v>
      </c>
      <c r="B190" s="82" t="s">
        <v>227</v>
      </c>
      <c r="C190" s="46" t="s">
        <v>90</v>
      </c>
      <c r="D190" s="46">
        <v>2019</v>
      </c>
      <c r="E190" s="46" t="s">
        <v>91</v>
      </c>
      <c r="F190" s="46"/>
      <c r="G190" s="73">
        <v>47747</v>
      </c>
      <c r="H190" s="59">
        <f t="shared" si="2197"/>
        <v>42972.300000000003</v>
      </c>
      <c r="I190" s="59">
        <f t="shared" si="2202"/>
        <v>0</v>
      </c>
      <c r="J190" s="59">
        <f t="shared" si="2203"/>
        <v>0</v>
      </c>
      <c r="K190" s="59">
        <f t="shared" si="2204"/>
        <v>0</v>
      </c>
      <c r="L190" s="59">
        <f t="shared" si="2205"/>
        <v>42972.300000000003</v>
      </c>
      <c r="M190" s="59">
        <f t="shared" si="2206"/>
        <v>0</v>
      </c>
      <c r="N190" s="59">
        <v>5243</v>
      </c>
      <c r="O190" s="59">
        <v>446</v>
      </c>
      <c r="P190" s="59">
        <f t="shared" si="2207"/>
        <v>0</v>
      </c>
      <c r="Q190" s="59"/>
      <c r="R190" s="59"/>
      <c r="S190" s="59"/>
      <c r="T190" s="59"/>
      <c r="U190" s="59">
        <v>1186</v>
      </c>
      <c r="V190" s="59">
        <f t="shared" si="2208"/>
        <v>591.438176972213</v>
      </c>
      <c r="W190" s="59">
        <v>11861.950000000001</v>
      </c>
      <c r="X190" s="62">
        <f t="shared" si="2209"/>
        <v>0.612647691955166</v>
      </c>
      <c r="Y190" s="62">
        <f t="shared" si="2210"/>
        <v>3.2464201196704199</v>
      </c>
      <c r="Z190" s="62">
        <f>Y190*1</f>
        <v>3.2464201196704199</v>
      </c>
      <c r="AA190" s="59">
        <f t="shared" si="2211"/>
        <v>257.18446961284002</v>
      </c>
      <c r="AB190" s="59">
        <v>2441.1399999999999</v>
      </c>
      <c r="AC190" s="59">
        <f t="shared" si="2212"/>
        <v>30.7981983604727</v>
      </c>
      <c r="AD190" s="59"/>
      <c r="AE190" s="59"/>
      <c r="AF190" s="59">
        <v>45</v>
      </c>
      <c r="AG190" s="59">
        <f t="shared" si="2213"/>
        <v>45</v>
      </c>
      <c r="AH190" s="59">
        <f t="shared" si="2214"/>
        <v>75.865415549597898</v>
      </c>
      <c r="AI190" s="59">
        <v>1</v>
      </c>
      <c r="AJ190" s="59">
        <f t="shared" si="2215"/>
        <v>1</v>
      </c>
      <c r="AK190" s="59">
        <f t="shared" si="2216"/>
        <v>68.236902902970996</v>
      </c>
      <c r="AL190" s="338"/>
      <c r="AM190" s="59"/>
      <c r="AN190" s="59">
        <v>3000</v>
      </c>
      <c r="AO190" s="62"/>
      <c r="AP190" s="62"/>
      <c r="AQ190" s="59"/>
      <c r="AR190" s="59"/>
      <c r="AS190" s="59"/>
      <c r="AT190" s="189">
        <f>VLOOKUP(B:B,综合进度!B:N,13,0)</f>
        <v>5.6186917305237703e-003</v>
      </c>
      <c r="AU190" s="59">
        <f t="shared" si="2217"/>
        <v>33.565952024314399</v>
      </c>
      <c r="AV190" s="59"/>
      <c r="AW190" s="59"/>
      <c r="AX190" s="59">
        <f t="shared" si="2218"/>
        <v>4057</v>
      </c>
      <c r="AY190" s="59">
        <v>1128</v>
      </c>
      <c r="AZ190" s="59">
        <f t="shared" si="2219"/>
        <v>1055.7442280653099</v>
      </c>
      <c r="BA190" s="59">
        <f t="shared" si="2220"/>
        <v>3001.2557719346901</v>
      </c>
      <c r="BB190" s="43">
        <f t="shared" si="2145"/>
        <v>2.84278681535829</v>
      </c>
      <c r="BC190" s="50">
        <v>385</v>
      </c>
      <c r="BD190" s="50">
        <f t="shared" si="2221"/>
        <v>3386.2557719346901</v>
      </c>
    </row>
    <row r="191" s="5" customFormat="1" ht="17" customHeight="1">
      <c r="A191" s="46">
        <v>126</v>
      </c>
      <c r="B191" s="82" t="s">
        <v>228</v>
      </c>
      <c r="C191" s="46" t="s">
        <v>90</v>
      </c>
      <c r="D191" s="46">
        <v>2018</v>
      </c>
      <c r="E191" s="46"/>
      <c r="F191" s="46" t="s">
        <v>146</v>
      </c>
      <c r="G191" s="73">
        <v>32790</v>
      </c>
      <c r="H191" s="59">
        <f t="shared" si="2197"/>
        <v>26232</v>
      </c>
      <c r="I191" s="59">
        <f t="shared" si="2202"/>
        <v>0</v>
      </c>
      <c r="J191" s="59">
        <f t="shared" si="2203"/>
        <v>0</v>
      </c>
      <c r="K191" s="59">
        <f t="shared" si="2204"/>
        <v>26232</v>
      </c>
      <c r="L191" s="59">
        <f t="shared" si="2205"/>
        <v>0</v>
      </c>
      <c r="M191" s="59">
        <f t="shared" si="2206"/>
        <v>0</v>
      </c>
      <c r="N191" s="59">
        <v>4495</v>
      </c>
      <c r="O191" s="59">
        <v>1212</v>
      </c>
      <c r="P191" s="59">
        <f t="shared" si="2207"/>
        <v>0</v>
      </c>
      <c r="Q191" s="59"/>
      <c r="R191" s="59"/>
      <c r="S191" s="59"/>
      <c r="T191" s="59"/>
      <c r="U191" s="59">
        <v>651</v>
      </c>
      <c r="V191" s="59">
        <f t="shared" si="2208"/>
        <v>422.01006973983198</v>
      </c>
      <c r="W191" s="59">
        <v>12185.77</v>
      </c>
      <c r="X191" s="62">
        <f t="shared" si="2209"/>
        <v>0.56039354399372598</v>
      </c>
      <c r="Y191" s="62">
        <f t="shared" si="2210"/>
        <v>2.08942732878061</v>
      </c>
      <c r="Z191" s="62">
        <f t="shared" si="2222"/>
        <v>1.0447136643902999</v>
      </c>
      <c r="AA191" s="59">
        <f t="shared" si="2211"/>
        <v>82.763203704141603</v>
      </c>
      <c r="AB191" s="59">
        <v>447.10000000000002</v>
      </c>
      <c r="AC191" s="59">
        <f t="shared" si="2212"/>
        <v>5.6407557481206902</v>
      </c>
      <c r="AD191" s="59"/>
      <c r="AE191" s="59"/>
      <c r="AF191" s="59">
        <v>25</v>
      </c>
      <c r="AG191" s="59">
        <f t="shared" si="2213"/>
        <v>25</v>
      </c>
      <c r="AH191" s="59">
        <f t="shared" si="2214"/>
        <v>42.147453083109902</v>
      </c>
      <c r="AI191" s="59">
        <v>1</v>
      </c>
      <c r="AJ191" s="59">
        <f t="shared" si="2215"/>
        <v>1</v>
      </c>
      <c r="AK191" s="59">
        <f t="shared" si="2216"/>
        <v>68.236902902970996</v>
      </c>
      <c r="AL191" s="338"/>
      <c r="AM191" s="59"/>
      <c r="AN191" s="59"/>
      <c r="AO191" s="62"/>
      <c r="AP191" s="62"/>
      <c r="AQ191" s="59"/>
      <c r="AR191" s="59"/>
      <c r="AS191" s="59"/>
      <c r="AT191" s="189">
        <f>VLOOKUP(B:B,综合进度!B:N,13,0)</f>
        <v>6.78165712346204e-003</v>
      </c>
      <c r="AU191" s="59">
        <f t="shared" si="2217"/>
        <v>40.513484022419803</v>
      </c>
      <c r="AV191" s="59"/>
      <c r="AW191" s="59"/>
      <c r="AX191" s="59">
        <f t="shared" si="2218"/>
        <v>661</v>
      </c>
      <c r="AY191" s="59">
        <v>2015</v>
      </c>
      <c r="AZ191" s="59">
        <f t="shared" si="2219"/>
        <v>1885.9260811627701</v>
      </c>
      <c r="BA191" s="59">
        <f t="shared" si="2220"/>
        <v>-1224.9260811627701</v>
      </c>
      <c r="BB191" s="43">
        <f t="shared" si="2145"/>
        <v>-0.64950906262855201</v>
      </c>
      <c r="BC191" s="50">
        <v>-4523</v>
      </c>
      <c r="BD191" s="50">
        <f t="shared" si="2221"/>
        <v>-5747.9260811627701</v>
      </c>
    </row>
    <row r="192" ht="17" customHeight="1">
      <c r="A192" s="46">
        <v>127</v>
      </c>
      <c r="B192" s="82" t="s">
        <v>229</v>
      </c>
      <c r="C192" s="46" t="s">
        <v>90</v>
      </c>
      <c r="D192" s="46">
        <v>2018</v>
      </c>
      <c r="E192" s="46"/>
      <c r="F192" s="46"/>
      <c r="G192" s="73">
        <v>26354</v>
      </c>
      <c r="H192" s="59">
        <f t="shared" si="2197"/>
        <v>21083.200000000001</v>
      </c>
      <c r="I192" s="59">
        <f t="shared" si="2202"/>
        <v>0</v>
      </c>
      <c r="J192" s="59">
        <f t="shared" si="2203"/>
        <v>0</v>
      </c>
      <c r="K192" s="59">
        <f t="shared" si="2204"/>
        <v>21083.200000000001</v>
      </c>
      <c r="L192" s="59">
        <f t="shared" si="2205"/>
        <v>0</v>
      </c>
      <c r="M192" s="59">
        <f t="shared" si="2206"/>
        <v>0</v>
      </c>
      <c r="N192" s="59">
        <v>2902</v>
      </c>
      <c r="O192" s="59">
        <v>3784</v>
      </c>
      <c r="P192" s="59">
        <f t="shared" si="2207"/>
        <v>0</v>
      </c>
      <c r="Q192" s="59"/>
      <c r="R192" s="59"/>
      <c r="S192" s="59"/>
      <c r="T192" s="59"/>
      <c r="U192" s="59">
        <v>314</v>
      </c>
      <c r="V192" s="59">
        <f t="shared" si="2208"/>
        <v>293.07814878372102</v>
      </c>
      <c r="W192" s="59">
        <v>11868.41</v>
      </c>
      <c r="X192" s="62">
        <f t="shared" si="2209"/>
        <v>0.61160525542922295</v>
      </c>
      <c r="Y192" s="62">
        <f t="shared" si="2210"/>
        <v>1.7893123352837299</v>
      </c>
      <c r="Z192" s="62">
        <f t="shared" si="2222"/>
        <v>0.89465616764186695</v>
      </c>
      <c r="AA192" s="59">
        <f t="shared" si="2211"/>
        <v>70.875507013611198</v>
      </c>
      <c r="AB192" s="59">
        <v>564.48000000000002</v>
      </c>
      <c r="AC192" s="59">
        <f t="shared" si="2212"/>
        <v>7.1216591471687902</v>
      </c>
      <c r="AD192" s="59"/>
      <c r="AE192" s="59"/>
      <c r="AF192" s="59">
        <v>51</v>
      </c>
      <c r="AG192" s="59">
        <f t="shared" si="2213"/>
        <v>51</v>
      </c>
      <c r="AH192" s="59">
        <f t="shared" si="2214"/>
        <v>85.980804289544295</v>
      </c>
      <c r="AI192" s="59">
        <v>1</v>
      </c>
      <c r="AJ192" s="59">
        <f t="shared" si="2215"/>
        <v>1</v>
      </c>
      <c r="AK192" s="59">
        <f t="shared" si="2216"/>
        <v>68.236902902970996</v>
      </c>
      <c r="AL192" s="338"/>
      <c r="AM192" s="59"/>
      <c r="AN192" s="59"/>
      <c r="AO192" s="62"/>
      <c r="AP192" s="62"/>
      <c r="AQ192" s="59"/>
      <c r="AR192" s="59"/>
      <c r="AS192" s="59"/>
      <c r="AT192" s="189">
        <f>VLOOKUP(B:B,综合进度!B:N,13,0)</f>
        <v>3.4607216638200401e-003</v>
      </c>
      <c r="AU192" s="59">
        <f t="shared" si="2217"/>
        <v>20.6742820052276</v>
      </c>
      <c r="AV192" s="59"/>
      <c r="AW192" s="59"/>
      <c r="AX192" s="59">
        <f t="shared" si="2218"/>
        <v>546</v>
      </c>
      <c r="AY192" s="59">
        <v>536</v>
      </c>
      <c r="AZ192" s="59">
        <f t="shared" si="2219"/>
        <v>501.66569702394298</v>
      </c>
      <c r="BA192" s="59">
        <f t="shared" si="2220"/>
        <v>44.334302976057302</v>
      </c>
      <c r="BB192" s="43">
        <f t="shared" si="2145"/>
        <v>8.8374196679310499e-002</v>
      </c>
      <c r="BC192" s="50">
        <v>1397</v>
      </c>
      <c r="BD192" s="50">
        <f t="shared" si="2221"/>
        <v>1441.3343029760599</v>
      </c>
    </row>
    <row r="193" ht="17" customHeight="1">
      <c r="A193" s="46">
        <v>128</v>
      </c>
      <c r="B193" s="82" t="s">
        <v>230</v>
      </c>
      <c r="C193" s="46" t="s">
        <v>90</v>
      </c>
      <c r="D193" s="46">
        <v>2018</v>
      </c>
      <c r="E193" s="46"/>
      <c r="F193" s="46" t="s">
        <v>146</v>
      </c>
      <c r="G193" s="73">
        <v>36967</v>
      </c>
      <c r="H193" s="59">
        <f t="shared" si="2197"/>
        <v>29573.599999999999</v>
      </c>
      <c r="I193" s="59">
        <f t="shared" si="2202"/>
        <v>0</v>
      </c>
      <c r="J193" s="59">
        <f t="shared" si="2203"/>
        <v>0</v>
      </c>
      <c r="K193" s="59">
        <f t="shared" si="2204"/>
        <v>29573.599999999999</v>
      </c>
      <c r="L193" s="59">
        <f t="shared" si="2205"/>
        <v>0</v>
      </c>
      <c r="M193" s="59">
        <f t="shared" si="2206"/>
        <v>0</v>
      </c>
      <c r="N193" s="59">
        <v>3335</v>
      </c>
      <c r="O193" s="59">
        <v>4547</v>
      </c>
      <c r="P193" s="59">
        <f t="shared" si="2207"/>
        <v>0</v>
      </c>
      <c r="Q193" s="59"/>
      <c r="R193" s="59"/>
      <c r="S193" s="59"/>
      <c r="T193" s="59"/>
      <c r="U193" s="59">
        <v>16</v>
      </c>
      <c r="V193" s="59">
        <f t="shared" si="2208"/>
        <v>352.85932631947702</v>
      </c>
      <c r="W193" s="59">
        <v>11920.309999999999</v>
      </c>
      <c r="X193" s="62">
        <f t="shared" si="2209"/>
        <v>0.60323026228735799</v>
      </c>
      <c r="Y193" s="62">
        <f t="shared" si="2210"/>
        <v>2.4311386030705102</v>
      </c>
      <c r="Z193" s="62">
        <f t="shared" si="2222"/>
        <v>1.21556930153525</v>
      </c>
      <c r="AA193" s="59">
        <f t="shared" si="2211"/>
        <v>96.298548730264997</v>
      </c>
      <c r="AB193" s="59">
        <v>1627.3299999999999</v>
      </c>
      <c r="AC193" s="59">
        <f t="shared" si="2212"/>
        <v>20.530912662914901</v>
      </c>
      <c r="AD193" s="59"/>
      <c r="AE193" s="59"/>
      <c r="AF193" s="59">
        <v>12</v>
      </c>
      <c r="AG193" s="59">
        <f t="shared" si="2213"/>
        <v>12</v>
      </c>
      <c r="AH193" s="59">
        <f t="shared" si="2214"/>
        <v>20.230777479892801</v>
      </c>
      <c r="AI193" s="59">
        <v>1</v>
      </c>
      <c r="AJ193" s="59">
        <f t="shared" si="2215"/>
        <v>1</v>
      </c>
      <c r="AK193" s="59">
        <f t="shared" si="2216"/>
        <v>68.236902902970996</v>
      </c>
      <c r="AL193" s="338"/>
      <c r="AM193" s="59"/>
      <c r="AN193" s="59"/>
      <c r="AO193" s="62"/>
      <c r="AP193" s="62"/>
      <c r="AQ193" s="59"/>
      <c r="AR193" s="59"/>
      <c r="AS193" s="59"/>
      <c r="AT193" s="189">
        <f>VLOOKUP(B:B,综合进度!B:N,13,0)</f>
        <v>5.05519846281869e-003</v>
      </c>
      <c r="AU193" s="59">
        <f t="shared" si="2217"/>
        <v>30.1996545129096</v>
      </c>
      <c r="AV193" s="59"/>
      <c r="AW193" s="59"/>
      <c r="AX193" s="59">
        <f t="shared" si="2218"/>
        <v>588</v>
      </c>
      <c r="AY193" s="59">
        <v>1109</v>
      </c>
      <c r="AZ193" s="59">
        <f t="shared" si="2219"/>
        <v>1037.9613022379699</v>
      </c>
      <c r="BA193" s="59">
        <f t="shared" si="2220"/>
        <v>-449.96130223797098</v>
      </c>
      <c r="BB193" s="43">
        <f t="shared" si="2145"/>
        <v>-0.43350489201071302</v>
      </c>
      <c r="BC193" s="50">
        <v>-2247</v>
      </c>
      <c r="BD193" s="50">
        <f t="shared" si="2221"/>
        <v>-2696.9613022379699</v>
      </c>
    </row>
    <row r="194" ht="17" customHeight="1">
      <c r="A194" s="46">
        <v>129</v>
      </c>
      <c r="B194" s="82" t="s">
        <v>231</v>
      </c>
      <c r="C194" s="46" t="s">
        <v>90</v>
      </c>
      <c r="D194" s="46">
        <v>2018</v>
      </c>
      <c r="E194" s="46" t="s">
        <v>91</v>
      </c>
      <c r="F194" s="46" t="s">
        <v>146</v>
      </c>
      <c r="G194" s="73">
        <v>40066</v>
      </c>
      <c r="H194" s="59">
        <f t="shared" si="2197"/>
        <v>32052.799999999999</v>
      </c>
      <c r="I194" s="59">
        <f t="shared" si="2202"/>
        <v>0</v>
      </c>
      <c r="J194" s="59">
        <f t="shared" si="2203"/>
        <v>0</v>
      </c>
      <c r="K194" s="59">
        <f t="shared" si="2204"/>
        <v>32052.799999999999</v>
      </c>
      <c r="L194" s="59">
        <f t="shared" si="2205"/>
        <v>0</v>
      </c>
      <c r="M194" s="59">
        <f t="shared" si="2206"/>
        <v>0</v>
      </c>
      <c r="N194" s="59">
        <v>5388</v>
      </c>
      <c r="O194" s="59">
        <v>1570</v>
      </c>
      <c r="P194" s="59">
        <f t="shared" si="2207"/>
        <v>0</v>
      </c>
      <c r="Q194" s="59"/>
      <c r="R194" s="59"/>
      <c r="S194" s="59"/>
      <c r="T194" s="59"/>
      <c r="U194" s="59">
        <v>844</v>
      </c>
      <c r="V194" s="59">
        <f t="shared" si="2208"/>
        <v>512.89402084243704</v>
      </c>
      <c r="W194" s="59">
        <v>11602.309999999999</v>
      </c>
      <c r="X194" s="62">
        <f t="shared" si="2209"/>
        <v>0.65454524916814905</v>
      </c>
      <c r="Y194" s="62">
        <f t="shared" si="2210"/>
        <v>2.9751699755689001</v>
      </c>
      <c r="Z194" s="62">
        <f>Y194*1</f>
        <v>2.9751699755689001</v>
      </c>
      <c r="AA194" s="59">
        <f t="shared" si="2211"/>
        <v>235.69577687696599</v>
      </c>
      <c r="AB194" s="59">
        <v>604.39999999999998</v>
      </c>
      <c r="AC194" s="59">
        <f t="shared" si="2212"/>
        <v>7.6253025590788299</v>
      </c>
      <c r="AD194" s="59"/>
      <c r="AE194" s="59"/>
      <c r="AF194" s="59">
        <v>21</v>
      </c>
      <c r="AG194" s="59">
        <f t="shared" si="2213"/>
        <v>21</v>
      </c>
      <c r="AH194" s="59">
        <f t="shared" si="2214"/>
        <v>35.403860589812297</v>
      </c>
      <c r="AI194" s="59">
        <v>1</v>
      </c>
      <c r="AJ194" s="59">
        <f t="shared" si="2215"/>
        <v>1</v>
      </c>
      <c r="AK194" s="59">
        <f t="shared" si="2216"/>
        <v>68.236902902970996</v>
      </c>
      <c r="AL194" s="338"/>
      <c r="AM194" s="59"/>
      <c r="AN194" s="59">
        <v>3000</v>
      </c>
      <c r="AO194" s="62"/>
      <c r="AP194" s="62"/>
      <c r="AQ194" s="59"/>
      <c r="AR194" s="59"/>
      <c r="AS194" s="59"/>
      <c r="AT194" s="189">
        <f>VLOOKUP(B:B,综合进度!B:N,13,0)</f>
        <v>1.32694549891754e-002</v>
      </c>
      <c r="AU194" s="59">
        <f t="shared" si="2217"/>
        <v>79.271458716233994</v>
      </c>
      <c r="AV194" s="59"/>
      <c r="AW194" s="59"/>
      <c r="AX194" s="59">
        <f t="shared" si="2218"/>
        <v>3939</v>
      </c>
      <c r="AY194" s="59">
        <v>3096</v>
      </c>
      <c r="AZ194" s="59">
        <f t="shared" si="2219"/>
        <v>2897.6809663920299</v>
      </c>
      <c r="BA194" s="59">
        <f t="shared" si="2220"/>
        <v>1041.3190336079699</v>
      </c>
      <c r="BB194" s="43">
        <f t="shared" si="2145"/>
        <v>0.35936289939625199</v>
      </c>
      <c r="BC194" s="50">
        <v>-7315</v>
      </c>
      <c r="BD194" s="50">
        <f t="shared" si="2221"/>
        <v>-6273.6809663920303</v>
      </c>
    </row>
    <row r="196">
      <c r="B196" s="1"/>
    </row>
  </sheetData>
  <mergeCells count="44">
    <mergeCell ref="A2:BD2"/>
    <mergeCell ref="G4:V4"/>
    <mergeCell ref="G5:M5"/>
    <mergeCell ref="O5:T5"/>
    <mergeCell ref="H6:M6"/>
    <mergeCell ref="P6:T6"/>
    <mergeCell ref="AB6:AC6"/>
    <mergeCell ref="AD6:AE6"/>
    <mergeCell ref="AF6:AM6"/>
    <mergeCell ref="AT6:AU6"/>
    <mergeCell ref="AV6:AW6"/>
    <mergeCell ref="A4:A7"/>
    <mergeCell ref="B4:B7"/>
    <mergeCell ref="C4:C7"/>
    <mergeCell ref="D4:D7"/>
    <mergeCell ref="E4:E7"/>
    <mergeCell ref="F4:F7"/>
    <mergeCell ref="G6:G7"/>
    <mergeCell ref="N5:N7"/>
    <mergeCell ref="O6:O7"/>
    <mergeCell ref="U5:U7"/>
    <mergeCell ref="V5:V7"/>
    <mergeCell ref="W6:W7"/>
    <mergeCell ref="X6:X7"/>
    <mergeCell ref="Y6:Y7"/>
    <mergeCell ref="Z6:Z7"/>
    <mergeCell ref="AA6:AA7"/>
    <mergeCell ref="AO6:AO7"/>
    <mergeCell ref="AP6:AP7"/>
    <mergeCell ref="AQ6:AQ7"/>
    <mergeCell ref="AR6:AR7"/>
    <mergeCell ref="AS6:AS7"/>
    <mergeCell ref="AX4:AX7"/>
    <mergeCell ref="AY4:AY7"/>
    <mergeCell ref="AZ4:AZ7"/>
    <mergeCell ref="BA4:BA7"/>
    <mergeCell ref="BB4:BB7"/>
    <mergeCell ref="BC4:BC7"/>
    <mergeCell ref="BD4:BD7"/>
    <mergeCell ref="BF4:BF7"/>
    <mergeCell ref="BG4:BG7"/>
    <mergeCell ref="W4:AA5"/>
    <mergeCell ref="AO4:AW5"/>
    <mergeCell ref="AB4:AN5"/>
  </mergeCells>
  <printOptions headings="0" gridLines="0"/>
  <pageMargins left="0.59027777777777801" right="0.62986111111111098" top="0.66874999999999984" bottom="0.62986111111111098" header="0.35416666666666702" footer="0.27500000000000008"/>
  <pageSetup paperSize="8" scale="100" fitToWidth="1" fitToHeight="0" pageOrder="overThenDown" orientation="landscape" usePrinterDefaults="1" blackAndWhite="0" draft="0" cellComments="none" useFirstPageNumber="0" errors="displayed" horizontalDpi="600" verticalDpi="600" copies="1"/>
  <headerFooter>
    <oddFooter>&amp;C第 &amp;P 页，共 &amp;N 页</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7">
    <tabColor indexed="2"/>
    <outlinePr applyStyles="0" summaryBelow="1" summaryRight="1" showOutlineSymbols="1"/>
    <pageSetUpPr autoPageBreaks="1" fitToPage="0"/>
  </sheetPr>
  <sheetViews>
    <sheetView zoomScale="100" workbookViewId="0">
      <pane xSplit="2" ySplit="9" topLeftCell="C10" activePane="bottomRight" state="frozen"/>
      <selection activeCell="AX4" activeCellId="0" sqref="AX4:AX7"/>
    </sheetView>
  </sheetViews>
  <sheetFormatPr defaultColWidth="9" defaultRowHeight="13.5"/>
  <cols>
    <col customWidth="1" min="1" max="1" style="1" width="4.875"/>
    <col customWidth="1" min="2" max="2" style="2" width="10.883333333333301"/>
    <col customWidth="1" min="3" max="3" style="1" width="8.125"/>
    <col customWidth="1" hidden="1" min="4" max="4" style="1" width="6.2583333333333302"/>
    <col customWidth="1" min="5" max="6" style="1" width="6.2583333333333302"/>
    <col customWidth="1" min="7" max="13" style="1" width="7.625"/>
    <col customWidth="1" min="14" max="14" style="4" width="7.625"/>
    <col customWidth="1" hidden="1" min="15" max="15" style="1" width="7.625"/>
    <col customWidth="1" min="16" max="17" style="1" width="7.625"/>
    <col customWidth="1" min="18" max="18" style="4" width="10.125"/>
    <col customWidth="1" min="19" max="19" style="4" width="9.875"/>
    <col customWidth="1" min="20" max="21" style="4" width="7.625"/>
    <col customWidth="1" min="22" max="22" style="1" width="7.625"/>
    <col customWidth="1" min="23" max="23" style="4" width="7.625"/>
    <col customWidth="1" min="24" max="27" style="1" width="7.625"/>
    <col customWidth="1" min="28" max="28" style="126" width="7.625"/>
    <col customWidth="1" min="29" max="29" style="3" width="7.625"/>
    <col customWidth="1" hidden="1" min="30" max="31" style="3" width="4.375"/>
    <col customWidth="1" min="32" max="37" style="3" width="7.625"/>
    <col customWidth="1" hidden="1" min="38" max="38" style="128" width="4.875"/>
    <col customWidth="1" hidden="1" min="39" max="39" style="126" width="4.875"/>
    <col customWidth="1" min="40" max="40" style="3" width="12.5"/>
    <col customWidth="1" hidden="1" min="41" max="41" style="127" width="7.625"/>
    <col customWidth="1" min="42" max="42" style="127" width="7.625"/>
    <col customWidth="1" min="43" max="45" style="3" width="7.625"/>
    <col customWidth="1" min="46" max="46" style="398" width="7.625"/>
    <col customWidth="1" min="47" max="47" style="3" width="7.625"/>
    <col customWidth="1" hidden="1" min="48" max="48" style="127" width="4.7583333333333302"/>
    <col customWidth="1" hidden="1" min="49" max="49" style="3" width="4.7583333333333302"/>
    <col customWidth="1" min="50" max="50" style="130" width="9.2583333333333293"/>
    <col customWidth="1" min="51" max="51" style="1" width="8.5"/>
    <col customWidth="1" min="52" max="52" style="1" width="7.625"/>
    <col customWidth="1" min="53" max="53" style="4" width="7.625"/>
    <col customWidth="1" min="54" max="54" style="1" width="7.625"/>
    <col customWidth="1" min="55" max="55" style="4" width="9.4083333333333297"/>
    <col customWidth="1" min="56" max="56" style="4" width="7.625"/>
    <col customWidth="1" min="57" max="57" width="12.625"/>
    <col customWidth="1" min="58" max="58" width="11.175000000000001"/>
    <col customWidth="1" min="59" max="59" width="9.375"/>
    <col customWidth="1" min="60" max="60" width="9"/>
  </cols>
  <sheetData>
    <row r="1" s="0" customFormat="1" ht="16" hidden="1" customHeight="1">
      <c r="A1" s="1" t="s">
        <v>0</v>
      </c>
      <c r="B1" s="2"/>
      <c r="C1" s="1"/>
      <c r="D1" s="1"/>
      <c r="E1" s="1"/>
      <c r="F1" s="6"/>
      <c r="G1" s="4"/>
      <c r="H1" s="4"/>
      <c r="I1" s="4"/>
      <c r="J1" s="4"/>
      <c r="K1" s="4"/>
      <c r="L1" s="4"/>
      <c r="M1" s="4"/>
      <c r="N1" s="4"/>
      <c r="O1" s="126" t="s">
        <v>1509</v>
      </c>
      <c r="P1" s="4">
        <f>P38/$P$9*100000</f>
        <v>14635.329730454199</v>
      </c>
      <c r="Q1" s="4"/>
      <c r="R1" s="4">
        <f>P39/$P$9*100000</f>
        <v>9874.3555422703394</v>
      </c>
      <c r="S1" s="4"/>
      <c r="T1" s="4"/>
      <c r="U1" s="4"/>
      <c r="V1" s="131">
        <f>V3/1348663</f>
        <v>2.44686029529358e-007</v>
      </c>
      <c r="W1" s="4"/>
      <c r="X1" s="4"/>
      <c r="Y1" s="4"/>
      <c r="Z1" s="4"/>
      <c r="AA1" s="131">
        <f t="shared" ref="AA1:AE1" si="2223">AA3/1348663</f>
        <v>8.8976738010675506e-008</v>
      </c>
      <c r="AB1" s="4"/>
      <c r="AC1" s="131">
        <f t="shared" si="2223"/>
        <v>2.22441845026689e-008</v>
      </c>
      <c r="AD1" s="131"/>
      <c r="AE1" s="131">
        <f t="shared" si="2223"/>
        <v>0</v>
      </c>
      <c r="AF1" s="4"/>
      <c r="AG1" s="4"/>
      <c r="AH1" s="131">
        <f t="shared" ref="AH1:AM1" si="2224">AH3/1348663</f>
        <v>1.4829456335112599e-008</v>
      </c>
      <c r="AI1" s="131"/>
      <c r="AJ1" s="131"/>
      <c r="AK1" s="131">
        <f t="shared" si="2224"/>
        <v>1.4829456335112599e-008</v>
      </c>
      <c r="AL1" s="133"/>
      <c r="AM1" s="131">
        <f t="shared" si="2224"/>
        <v>0</v>
      </c>
      <c r="AN1" s="131">
        <f>AN9/AX3</f>
        <v>0.35046345881865498</v>
      </c>
      <c r="AO1" s="132"/>
      <c r="AP1" s="132"/>
      <c r="AQ1" s="129">
        <f t="shared" ref="AQ1:AU1" si="2225">AQ3/1348663</f>
        <v>6.2625987388464702e-008</v>
      </c>
      <c r="AR1" s="4"/>
      <c r="AS1" s="129">
        <f t="shared" si="2225"/>
        <v>6.2625987388464702e-008</v>
      </c>
      <c r="AT1" s="129"/>
      <c r="AU1" s="131">
        <f t="shared" si="2225"/>
        <v>1.46935568476375e-008</v>
      </c>
      <c r="AV1" s="134"/>
      <c r="AX1" s="137"/>
      <c r="AY1" s="1"/>
      <c r="AZ1" s="1"/>
      <c r="BA1" s="4" t="e">
        <f>AX3-AU9-AS9-AQ9-#REF!-AM9-AK9-AH9-AE9-AC9-AA9-V9</f>
        <v>#REF!</v>
      </c>
      <c r="BB1" s="1"/>
      <c r="BC1" s="4"/>
      <c r="BD1" s="4"/>
    </row>
    <row r="2" ht="51" customHeight="1">
      <c r="A2" s="7" t="s">
        <v>1557</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row>
    <row r="3" ht="16" customHeight="1">
      <c r="A3" s="3"/>
      <c r="B3" s="9"/>
      <c r="C3" s="3"/>
      <c r="D3" s="3"/>
      <c r="E3" s="3"/>
      <c r="F3" s="3"/>
      <c r="G3" s="6"/>
      <c r="H3" s="6"/>
      <c r="I3" s="6"/>
      <c r="J3" s="6"/>
      <c r="K3" s="6"/>
      <c r="L3" s="6"/>
      <c r="M3" s="6"/>
      <c r="N3" s="142"/>
      <c r="O3" s="6"/>
      <c r="P3" s="142"/>
      <c r="Q3" s="142"/>
      <c r="R3" s="142"/>
      <c r="S3" s="142"/>
      <c r="T3" s="142"/>
      <c r="U3" s="142"/>
      <c r="V3" s="399">
        <f>V9/298699.91</f>
        <v>0.32999899464315202</v>
      </c>
      <c r="W3" s="142"/>
      <c r="X3" s="6"/>
      <c r="Y3" s="6"/>
      <c r="Z3" s="6"/>
      <c r="AA3" s="399">
        <f>AA9/298699.91</f>
        <v>0.119999634415692</v>
      </c>
      <c r="AC3" s="399">
        <f>AC9/298699.91</f>
        <v>2.99999086039229e-002</v>
      </c>
      <c r="AD3" s="130"/>
      <c r="AE3" s="130">
        <f>AE184+AE178+AE171+AE163+AE155+AE147+AE132+AE119+AE113+AE100+AE89+AE73+AE61+AE49+AE35+AE18</f>
        <v>0</v>
      </c>
      <c r="AH3" s="399">
        <f>AH9/298699.91</f>
        <v>1.9999939069281901e-002</v>
      </c>
      <c r="AI3" s="130"/>
      <c r="AJ3" s="130"/>
      <c r="AK3" s="399">
        <f>AK9/298699.91</f>
        <v>1.9999939069282002e-002</v>
      </c>
      <c r="AM3" s="130">
        <f>AM184+AM178+AM171+AM163+AM155+AM147+AM132+AM119+AM113+AM100+AM89+AM73+AM61+AM49+AM35+AM18</f>
        <v>0</v>
      </c>
      <c r="AN3" s="399">
        <f>AN9/298699.91</f>
        <v>0.29126222368128601</v>
      </c>
      <c r="AQ3" s="399">
        <f>AQ9/298699.91</f>
        <v>8.4461352029289005e-002</v>
      </c>
      <c r="AS3" s="399">
        <f>AS9/298699.91</f>
        <v>8.4461352029289005e-002</v>
      </c>
      <c r="AU3" s="399">
        <f>AU9/298699.91</f>
        <v>1.9816656458805398e-002</v>
      </c>
      <c r="AW3" s="6"/>
      <c r="AX3" s="130">
        <f>V9+AA9+AC9+AH9+AK9+AN9+AU9</f>
        <v>248242.713500746</v>
      </c>
      <c r="AY3" s="3">
        <v>298699.90999999997</v>
      </c>
      <c r="AZ3" s="3">
        <f>AY3-AX3</f>
        <v>50457.1964992539</v>
      </c>
      <c r="BA3" s="400">
        <f>AZ3/AY3</f>
        <v>0.16892270405857801</v>
      </c>
      <c r="BB3" s="6"/>
      <c r="BC3" s="142"/>
      <c r="BD3" s="142">
        <f>SUM(BE41:BE183)</f>
        <v>41300</v>
      </c>
      <c r="BE3" s="134">
        <f>(AN9+BD3)/298699.91</f>
        <v>0.42952808388860902</v>
      </c>
    </row>
    <row r="4" s="10" customFormat="1" ht="18" customHeight="1">
      <c r="A4" s="11" t="s">
        <v>3</v>
      </c>
      <c r="B4" s="11" t="s">
        <v>4</v>
      </c>
      <c r="C4" s="11" t="s">
        <v>5</v>
      </c>
      <c r="D4" s="11" t="s">
        <v>6</v>
      </c>
      <c r="E4" s="11" t="s">
        <v>7</v>
      </c>
      <c r="F4" s="11" t="s">
        <v>8</v>
      </c>
      <c r="G4" s="13" t="s">
        <v>1558</v>
      </c>
      <c r="H4" s="13"/>
      <c r="I4" s="13"/>
      <c r="J4" s="13"/>
      <c r="K4" s="13"/>
      <c r="L4" s="13"/>
      <c r="M4" s="13"/>
      <c r="N4" s="146"/>
      <c r="O4" s="13"/>
      <c r="P4" s="13"/>
      <c r="Q4" s="13"/>
      <c r="R4" s="146"/>
      <c r="S4" s="146"/>
      <c r="T4" s="146"/>
      <c r="U4" s="146"/>
      <c r="V4" s="13"/>
      <c r="W4" s="146" t="s">
        <v>1512</v>
      </c>
      <c r="X4" s="13"/>
      <c r="Y4" s="13"/>
      <c r="Z4" s="13"/>
      <c r="AA4" s="13"/>
      <c r="AB4" s="146" t="s">
        <v>1559</v>
      </c>
      <c r="AC4" s="146"/>
      <c r="AD4" s="146"/>
      <c r="AE4" s="146"/>
      <c r="AF4" s="146"/>
      <c r="AG4" s="146"/>
      <c r="AH4" s="146"/>
      <c r="AI4" s="146"/>
      <c r="AJ4" s="146"/>
      <c r="AK4" s="146"/>
      <c r="AL4" s="146"/>
      <c r="AM4" s="146"/>
      <c r="AN4" s="146"/>
      <c r="AO4" s="149" t="s">
        <v>1514</v>
      </c>
      <c r="AP4" s="149"/>
      <c r="AQ4" s="150"/>
      <c r="AR4" s="150"/>
      <c r="AS4" s="150"/>
      <c r="AT4" s="150"/>
      <c r="AU4" s="150"/>
      <c r="AV4" s="150"/>
      <c r="AW4" s="150"/>
      <c r="AX4" s="26" t="s">
        <v>404</v>
      </c>
      <c r="AY4" s="152" t="s">
        <v>396</v>
      </c>
      <c r="AZ4" s="145" t="s">
        <v>1560</v>
      </c>
      <c r="BA4" s="26" t="s">
        <v>1561</v>
      </c>
      <c r="BB4" s="15" t="s">
        <v>1562</v>
      </c>
      <c r="BC4" s="25" t="s">
        <v>1563</v>
      </c>
      <c r="BD4" s="26" t="s">
        <v>1564</v>
      </c>
      <c r="BF4" s="323"/>
      <c r="BG4" s="323"/>
    </row>
    <row r="5" s="10" customFormat="1" ht="56" customHeight="1">
      <c r="A5" s="18"/>
      <c r="B5" s="18"/>
      <c r="C5" s="18"/>
      <c r="D5" s="18"/>
      <c r="E5" s="18"/>
      <c r="F5" s="18"/>
      <c r="G5" s="14" t="s">
        <v>1516</v>
      </c>
      <c r="H5" s="14"/>
      <c r="I5" s="14"/>
      <c r="J5" s="14"/>
      <c r="K5" s="14"/>
      <c r="L5" s="14"/>
      <c r="M5" s="14"/>
      <c r="N5" s="25" t="s">
        <v>1517</v>
      </c>
      <c r="O5" s="14" t="s">
        <v>1565</v>
      </c>
      <c r="P5" s="14"/>
      <c r="Q5" s="14"/>
      <c r="R5" s="14"/>
      <c r="S5" s="14"/>
      <c r="T5" s="14"/>
      <c r="U5" s="14" t="s">
        <v>412</v>
      </c>
      <c r="V5" s="15" t="s">
        <v>23</v>
      </c>
      <c r="W5" s="146"/>
      <c r="X5" s="13"/>
      <c r="Y5" s="13"/>
      <c r="Z5" s="13"/>
      <c r="AA5" s="13"/>
      <c r="AB5" s="146"/>
      <c r="AC5" s="146"/>
      <c r="AD5" s="146"/>
      <c r="AE5" s="146"/>
      <c r="AF5" s="146"/>
      <c r="AG5" s="146"/>
      <c r="AH5" s="146"/>
      <c r="AI5" s="146"/>
      <c r="AJ5" s="146"/>
      <c r="AK5" s="146"/>
      <c r="AL5" s="146"/>
      <c r="AM5" s="146"/>
      <c r="AN5" s="146"/>
      <c r="AO5" s="149"/>
      <c r="AP5" s="149"/>
      <c r="AQ5" s="150"/>
      <c r="AR5" s="150"/>
      <c r="AS5" s="150"/>
      <c r="AT5" s="150"/>
      <c r="AU5" s="150"/>
      <c r="AV5" s="150"/>
      <c r="AW5" s="150"/>
      <c r="AX5" s="26"/>
      <c r="AY5" s="152"/>
      <c r="AZ5" s="154"/>
      <c r="BA5" s="26"/>
      <c r="BB5" s="15"/>
      <c r="BC5" s="25"/>
      <c r="BD5" s="26"/>
      <c r="BF5" s="323"/>
      <c r="BG5" s="323"/>
    </row>
    <row r="6" s="10" customFormat="1" ht="51" customHeight="1">
      <c r="A6" s="18"/>
      <c r="B6" s="18"/>
      <c r="C6" s="18"/>
      <c r="D6" s="18"/>
      <c r="E6" s="18"/>
      <c r="F6" s="18"/>
      <c r="G6" s="20" t="s">
        <v>24</v>
      </c>
      <c r="H6" s="20" t="s">
        <v>25</v>
      </c>
      <c r="I6" s="20"/>
      <c r="J6" s="20"/>
      <c r="K6" s="20"/>
      <c r="L6" s="20"/>
      <c r="M6" s="20"/>
      <c r="N6" s="25"/>
      <c r="O6" s="20" t="s">
        <v>26</v>
      </c>
      <c r="P6" s="20" t="s">
        <v>1518</v>
      </c>
      <c r="Q6" s="20"/>
      <c r="R6" s="20"/>
      <c r="S6" s="20"/>
      <c r="T6" s="20"/>
      <c r="U6" s="14"/>
      <c r="V6" s="15"/>
      <c r="W6" s="25" t="s">
        <v>414</v>
      </c>
      <c r="X6" s="14" t="s">
        <v>415</v>
      </c>
      <c r="Y6" s="14" t="s">
        <v>29</v>
      </c>
      <c r="Z6" s="14" t="s">
        <v>416</v>
      </c>
      <c r="AA6" s="15" t="s">
        <v>23</v>
      </c>
      <c r="AB6" s="25" t="s">
        <v>1566</v>
      </c>
      <c r="AC6" s="25"/>
      <c r="AD6" s="14"/>
      <c r="AE6" s="23"/>
      <c r="AF6" s="14" t="s">
        <v>1567</v>
      </c>
      <c r="AG6" s="14"/>
      <c r="AH6" s="14"/>
      <c r="AI6" s="14"/>
      <c r="AJ6" s="14"/>
      <c r="AK6" s="14"/>
      <c r="AL6" s="14"/>
      <c r="AM6" s="25"/>
      <c r="AN6" s="25" t="s">
        <v>1577</v>
      </c>
      <c r="AO6" s="149" t="s">
        <v>1569</v>
      </c>
      <c r="AP6" s="149" t="s">
        <v>1570</v>
      </c>
      <c r="AQ6" s="26" t="s">
        <v>1571</v>
      </c>
      <c r="AR6" s="149" t="s">
        <v>1572</v>
      </c>
      <c r="AS6" s="26" t="s">
        <v>1571</v>
      </c>
      <c r="AT6" s="150" t="s">
        <v>1573</v>
      </c>
      <c r="AU6" s="149"/>
      <c r="AV6" s="149"/>
      <c r="AW6" s="14"/>
      <c r="AX6" s="26"/>
      <c r="AY6" s="152"/>
      <c r="AZ6" s="154"/>
      <c r="BA6" s="26"/>
      <c r="BB6" s="15"/>
      <c r="BC6" s="25"/>
      <c r="BD6" s="26"/>
      <c r="BF6" s="323"/>
      <c r="BG6" s="323"/>
    </row>
    <row r="7" s="10" customFormat="1" ht="63" customHeight="1">
      <c r="A7" s="21"/>
      <c r="B7" s="21"/>
      <c r="C7" s="21"/>
      <c r="D7" s="21"/>
      <c r="E7" s="21"/>
      <c r="F7" s="21"/>
      <c r="G7" s="20"/>
      <c r="H7" s="20" t="s">
        <v>36</v>
      </c>
      <c r="I7" s="20" t="s">
        <v>1529</v>
      </c>
      <c r="J7" s="20" t="s">
        <v>1530</v>
      </c>
      <c r="K7" s="20" t="s">
        <v>1531</v>
      </c>
      <c r="L7" s="20" t="s">
        <v>1532</v>
      </c>
      <c r="M7" s="20" t="s">
        <v>41</v>
      </c>
      <c r="N7" s="25"/>
      <c r="O7" s="20"/>
      <c r="P7" s="20" t="s">
        <v>36</v>
      </c>
      <c r="Q7" s="20" t="s">
        <v>1533</v>
      </c>
      <c r="R7" s="25" t="s">
        <v>1534</v>
      </c>
      <c r="S7" s="25" t="s">
        <v>1535</v>
      </c>
      <c r="T7" s="25" t="s">
        <v>1536</v>
      </c>
      <c r="U7" s="14"/>
      <c r="V7" s="15"/>
      <c r="W7" s="156"/>
      <c r="X7" s="23"/>
      <c r="Y7" s="14"/>
      <c r="Z7" s="14"/>
      <c r="AA7" s="24"/>
      <c r="AB7" s="156" t="s">
        <v>430</v>
      </c>
      <c r="AC7" s="26" t="s">
        <v>23</v>
      </c>
      <c r="AD7" s="25"/>
      <c r="AE7" s="26"/>
      <c r="AF7" s="14" t="s">
        <v>1574</v>
      </c>
      <c r="AG7" s="14" t="s">
        <v>1539</v>
      </c>
      <c r="AH7" s="26" t="s">
        <v>23</v>
      </c>
      <c r="AI7" s="25" t="s">
        <v>1575</v>
      </c>
      <c r="AJ7" s="25" t="s">
        <v>1541</v>
      </c>
      <c r="AK7" s="26" t="s">
        <v>23</v>
      </c>
      <c r="AL7" s="401"/>
      <c r="AM7" s="26"/>
      <c r="AN7" s="26" t="s">
        <v>23</v>
      </c>
      <c r="AO7" s="149"/>
      <c r="AP7" s="149"/>
      <c r="AQ7" s="26"/>
      <c r="AR7" s="149"/>
      <c r="AS7" s="26"/>
      <c r="AT7" s="150" t="s">
        <v>1576</v>
      </c>
      <c r="AU7" s="26" t="s">
        <v>23</v>
      </c>
      <c r="AV7" s="149"/>
      <c r="AW7" s="26"/>
      <c r="AX7" s="26"/>
      <c r="AY7" s="152"/>
      <c r="AZ7" s="157"/>
      <c r="BA7" s="26"/>
      <c r="BB7" s="15"/>
      <c r="BC7" s="25"/>
      <c r="BD7" s="26"/>
      <c r="BF7" s="323"/>
      <c r="BG7" s="323"/>
    </row>
    <row r="8" s="10" customFormat="1" ht="24" customHeight="1">
      <c r="A8" s="20"/>
      <c r="B8" s="20"/>
      <c r="C8" s="20"/>
      <c r="D8" s="20"/>
      <c r="E8" s="20"/>
      <c r="F8" s="20"/>
      <c r="G8" s="28">
        <v>1</v>
      </c>
      <c r="H8" s="20">
        <v>2</v>
      </c>
      <c r="I8" s="28">
        <v>3</v>
      </c>
      <c r="J8" s="20">
        <v>4</v>
      </c>
      <c r="K8" s="28">
        <v>5</v>
      </c>
      <c r="L8" s="20">
        <v>6</v>
      </c>
      <c r="M8" s="28">
        <v>7</v>
      </c>
      <c r="N8" s="20">
        <v>3</v>
      </c>
      <c r="O8" s="28">
        <v>9</v>
      </c>
      <c r="P8" s="20">
        <v>4</v>
      </c>
      <c r="Q8" s="28">
        <v>5</v>
      </c>
      <c r="R8" s="20">
        <v>6</v>
      </c>
      <c r="S8" s="28">
        <v>7</v>
      </c>
      <c r="T8" s="20">
        <v>8</v>
      </c>
      <c r="U8" s="28">
        <v>9</v>
      </c>
      <c r="V8" s="20">
        <v>10</v>
      </c>
      <c r="W8" s="28">
        <v>11</v>
      </c>
      <c r="X8" s="20">
        <v>18</v>
      </c>
      <c r="Y8" s="28">
        <v>12</v>
      </c>
      <c r="Z8" s="20">
        <v>13</v>
      </c>
      <c r="AA8" s="28">
        <v>14</v>
      </c>
      <c r="AB8" s="20">
        <v>15</v>
      </c>
      <c r="AC8" s="28">
        <v>16</v>
      </c>
      <c r="AD8" s="20"/>
      <c r="AE8" s="28"/>
      <c r="AF8" s="20">
        <v>26</v>
      </c>
      <c r="AG8" s="28">
        <v>27</v>
      </c>
      <c r="AH8" s="20">
        <v>28</v>
      </c>
      <c r="AI8" s="28">
        <v>29</v>
      </c>
      <c r="AJ8" s="20">
        <v>30</v>
      </c>
      <c r="AK8" s="28">
        <v>31</v>
      </c>
      <c r="AL8" s="20"/>
      <c r="AM8" s="28"/>
      <c r="AN8" s="20">
        <v>17</v>
      </c>
      <c r="AO8" s="28">
        <v>37</v>
      </c>
      <c r="AP8" s="20">
        <v>18</v>
      </c>
      <c r="AQ8" s="28">
        <v>19</v>
      </c>
      <c r="AR8" s="20">
        <v>20</v>
      </c>
      <c r="AS8" s="28">
        <v>21</v>
      </c>
      <c r="AT8" s="28">
        <v>22</v>
      </c>
      <c r="AU8" s="28">
        <v>23</v>
      </c>
      <c r="AV8" s="20"/>
      <c r="AW8" s="28"/>
      <c r="AX8" s="20">
        <v>24</v>
      </c>
      <c r="AY8" s="28">
        <v>25</v>
      </c>
      <c r="AZ8" s="20">
        <v>26</v>
      </c>
      <c r="BA8" s="28">
        <v>27</v>
      </c>
      <c r="BB8" s="20">
        <v>28</v>
      </c>
      <c r="BC8" s="29">
        <v>29</v>
      </c>
      <c r="BD8" s="29">
        <v>30</v>
      </c>
    </row>
    <row r="9" s="5" customFormat="1" ht="17" customHeight="1">
      <c r="A9" s="31"/>
      <c r="B9" s="32" t="s">
        <v>55</v>
      </c>
      <c r="C9" s="33">
        <v>0</v>
      </c>
      <c r="D9" s="34"/>
      <c r="E9" s="34"/>
      <c r="F9" s="35"/>
      <c r="G9" s="37">
        <f t="shared" ref="G9:P9" si="2226">SUM(SUMIF($C:$C,"1",G:G))</f>
        <v>6652993</v>
      </c>
      <c r="H9" s="38">
        <f t="shared" si="2226"/>
        <v>5716278.7999999998</v>
      </c>
      <c r="I9" s="37">
        <f t="shared" si="2226"/>
        <v>353254.79999999999</v>
      </c>
      <c r="J9" s="37">
        <f t="shared" si="2226"/>
        <v>347075.40000000002</v>
      </c>
      <c r="K9" s="37">
        <f t="shared" si="2226"/>
        <v>1124051.2</v>
      </c>
      <c r="L9" s="37">
        <f t="shared" si="2226"/>
        <v>2443064.3999999999</v>
      </c>
      <c r="M9" s="37">
        <f t="shared" si="2226"/>
        <v>1448833</v>
      </c>
      <c r="N9" s="37">
        <f t="shared" si="2226"/>
        <v>896860</v>
      </c>
      <c r="O9" s="37">
        <f t="shared" si="2226"/>
        <v>996117</v>
      </c>
      <c r="P9" s="37">
        <f t="shared" si="2226"/>
        <v>453637.20000000001</v>
      </c>
      <c r="Q9" s="37">
        <v>107490</v>
      </c>
      <c r="R9" s="37">
        <f>SUM(SUMIF($C:$C,"1",R:R))</f>
        <v>58954</v>
      </c>
      <c r="S9" s="37">
        <f>SUM(SUMIF($C:$C,"1",S:S))</f>
        <v>254085</v>
      </c>
      <c r="T9" s="37">
        <f>SUM(SUMIF($C:$C,"1",T:T))</f>
        <v>70316</v>
      </c>
      <c r="U9" s="37">
        <f>SUM(SUMIF($C:$C,"1",U:U))</f>
        <v>147475</v>
      </c>
      <c r="V9" s="39">
        <f>SUM(SUMIF($C:$C,"1",V:V))</f>
        <v>98570.669999999998</v>
      </c>
      <c r="W9" s="37">
        <v>11378.84</v>
      </c>
      <c r="X9" s="41">
        <f t="shared" ref="X9:AC9" si="2227">SUM(SUMIF($C:$C,"1",X:X))</f>
        <v>74.865674146605997</v>
      </c>
      <c r="Y9" s="41">
        <f t="shared" si="2227"/>
        <v>519.04199821930501</v>
      </c>
      <c r="Z9" s="41">
        <f t="shared" si="2227"/>
        <v>452.45458784593302</v>
      </c>
      <c r="AA9" s="39">
        <f t="shared" si="2227"/>
        <v>35843.879999999997</v>
      </c>
      <c r="AB9" s="37">
        <f t="shared" si="2227"/>
        <v>710268.24523200002</v>
      </c>
      <c r="AC9" s="37">
        <f t="shared" si="2227"/>
        <v>8960.9699999999993</v>
      </c>
      <c r="AD9" s="37"/>
      <c r="AE9" s="39"/>
      <c r="AF9" s="37">
        <f>SUM(SUMIF($C:$C,"1",AF:AF))-AF22-AF23-AF24-AF25-AF26</f>
        <v>4006</v>
      </c>
      <c r="AG9" s="37">
        <f>SUM(SUMIF($C:$C,"1",AG:AG))-AG22-AG23-AG24-AG25-AG26</f>
        <v>3543.5</v>
      </c>
      <c r="AH9" s="37">
        <f>SUM(SUMIF($C:$C,"1",AH:AH))</f>
        <v>5973.9799999999996</v>
      </c>
      <c r="AI9" s="37">
        <f>SUM(SUMIF($C:$C,"1",AI:AI))-AI22-AI23-AI24-AI25-AI26</f>
        <v>101.244591565037</v>
      </c>
      <c r="AJ9" s="37">
        <f>SUM(SUMIF($C:$C,"1",AJ:AJ))-AJ22-AJ23-AJ24-AJ25-AJ26</f>
        <v>87.547642783475396</v>
      </c>
      <c r="AK9" s="37">
        <f>SUM(SUMIF($C:$C,"1",AK:AK))</f>
        <v>5973.9799999999996</v>
      </c>
      <c r="AL9" s="37"/>
      <c r="AM9" s="37"/>
      <c r="AN9" s="37">
        <f>SUM(SUMIF($C:$C,"1",AN:AN))</f>
        <v>87000</v>
      </c>
      <c r="AO9" s="39"/>
      <c r="AP9" s="39"/>
      <c r="AQ9" s="39">
        <f>SUM(SUMIF($C:$C,"1",AQ:AQ))</f>
        <v>25228.598249626899</v>
      </c>
      <c r="AR9" s="39"/>
      <c r="AS9" s="39">
        <f>SUM(SUMIF($C:$C,"1",AS:AS))</f>
        <v>25228.598249626899</v>
      </c>
      <c r="AT9" s="37">
        <f>SUM(SUMIF($C:$C,"1",AT:AT))</f>
        <v>1</v>
      </c>
      <c r="AU9" s="37">
        <f>SUM(SUMIF($C:$C,"1",AU:AU))</f>
        <v>5919.2335007460897</v>
      </c>
      <c r="AV9" s="37"/>
      <c r="AW9" s="37"/>
      <c r="AX9" s="41">
        <f>SUM(SUMIF($C:$C,"1",AX:AX))</f>
        <v>248243</v>
      </c>
      <c r="AY9" s="37">
        <v>299423</v>
      </c>
      <c r="AZ9" s="37">
        <f>SUM(SUMIF($C:$C,"1",AZ:AZ))</f>
        <v>280243</v>
      </c>
      <c r="BA9" s="37">
        <f>AX9-AZ9</f>
        <v>-32000</v>
      </c>
      <c r="BB9" s="335">
        <f t="shared" ref="BB9:BB18" si="2228">BA9/AZ9</f>
        <v>-0.114186616614866</v>
      </c>
      <c r="BC9" s="402">
        <v>-0.43391991336829999</v>
      </c>
      <c r="BD9" s="402"/>
    </row>
    <row r="10" ht="17" customHeight="1">
      <c r="A10" s="44"/>
      <c r="B10" s="45" t="s">
        <v>56</v>
      </c>
      <c r="C10" s="46">
        <v>1</v>
      </c>
      <c r="D10" s="46"/>
      <c r="E10" s="46"/>
      <c r="F10" s="47"/>
      <c r="G10" s="49"/>
      <c r="H10" s="50"/>
      <c r="I10" s="49"/>
      <c r="J10" s="49"/>
      <c r="K10" s="49"/>
      <c r="L10" s="49"/>
      <c r="M10" s="49"/>
      <c r="N10" s="59"/>
      <c r="O10" s="49"/>
      <c r="P10" s="49"/>
      <c r="Q10" s="49"/>
      <c r="R10" s="49"/>
      <c r="S10" s="49"/>
      <c r="T10" s="49"/>
      <c r="U10" s="49"/>
      <c r="V10" s="48"/>
      <c r="W10" s="49"/>
      <c r="X10" s="52"/>
      <c r="Y10" s="52"/>
      <c r="Z10" s="52"/>
      <c r="AA10" s="48"/>
      <c r="AB10" s="49"/>
      <c r="AC10" s="49"/>
      <c r="AD10" s="49"/>
      <c r="AE10" s="48"/>
      <c r="AF10" s="49"/>
      <c r="AG10" s="49"/>
      <c r="AH10" s="49"/>
      <c r="AI10" s="49"/>
      <c r="AJ10" s="49"/>
      <c r="AK10" s="49"/>
      <c r="AL10" s="169"/>
      <c r="AM10" s="49"/>
      <c r="AN10" s="49"/>
      <c r="AO10" s="52"/>
      <c r="AP10" s="52"/>
      <c r="AQ10" s="48">
        <f>AZ3/2</f>
        <v>25228.598249626899</v>
      </c>
      <c r="AR10" s="48"/>
      <c r="AS10" s="48">
        <f>AZ3/2</f>
        <v>25228.598249626899</v>
      </c>
      <c r="AT10" s="169"/>
      <c r="AU10" s="49"/>
      <c r="AV10" s="49"/>
      <c r="AW10" s="49"/>
      <c r="AX10" s="59"/>
      <c r="AY10" s="59"/>
      <c r="AZ10" s="59"/>
      <c r="BA10" s="59"/>
      <c r="BB10" s="43"/>
      <c r="BC10" s="50"/>
      <c r="BD10" s="50"/>
    </row>
    <row r="11" s="54" customFormat="1" ht="17" customHeight="1">
      <c r="A11" s="55"/>
      <c r="B11" s="56" t="s">
        <v>58</v>
      </c>
      <c r="C11" s="57">
        <v>0</v>
      </c>
      <c r="D11" s="57"/>
      <c r="E11" s="57"/>
      <c r="F11" s="58"/>
      <c r="G11" s="172">
        <f t="shared" ref="G11:AC11" si="2229">SUM(SUMIF($C:$C,"2",G:G))</f>
        <v>0</v>
      </c>
      <c r="H11" s="172">
        <f t="shared" si="2229"/>
        <v>0</v>
      </c>
      <c r="I11" s="172">
        <f t="shared" si="2229"/>
        <v>0</v>
      </c>
      <c r="J11" s="172">
        <f t="shared" si="2229"/>
        <v>0</v>
      </c>
      <c r="K11" s="172">
        <f t="shared" si="2229"/>
        <v>0</v>
      </c>
      <c r="L11" s="172">
        <f t="shared" si="2229"/>
        <v>0</v>
      </c>
      <c r="M11" s="172">
        <f t="shared" si="2229"/>
        <v>0</v>
      </c>
      <c r="N11" s="172">
        <f t="shared" si="2229"/>
        <v>0</v>
      </c>
      <c r="O11" s="172">
        <f t="shared" si="2229"/>
        <v>0</v>
      </c>
      <c r="P11" s="172">
        <f t="shared" si="2229"/>
        <v>0</v>
      </c>
      <c r="Q11" s="172">
        <f t="shared" si="2229"/>
        <v>0</v>
      </c>
      <c r="R11" s="172">
        <f t="shared" si="2229"/>
        <v>0</v>
      </c>
      <c r="S11" s="172">
        <f t="shared" si="2229"/>
        <v>0</v>
      </c>
      <c r="T11" s="172">
        <f t="shared" si="2229"/>
        <v>0</v>
      </c>
      <c r="U11" s="172">
        <f t="shared" si="2229"/>
        <v>0</v>
      </c>
      <c r="V11" s="172">
        <f t="shared" si="2229"/>
        <v>0</v>
      </c>
      <c r="W11" s="172">
        <f t="shared" si="2229"/>
        <v>0</v>
      </c>
      <c r="X11" s="172">
        <f t="shared" si="2229"/>
        <v>0</v>
      </c>
      <c r="Y11" s="172">
        <f t="shared" si="2229"/>
        <v>0</v>
      </c>
      <c r="Z11" s="172">
        <f t="shared" si="2229"/>
        <v>0</v>
      </c>
      <c r="AA11" s="172">
        <f t="shared" si="2229"/>
        <v>0</v>
      </c>
      <c r="AB11" s="172">
        <f t="shared" si="2229"/>
        <v>0</v>
      </c>
      <c r="AC11" s="172">
        <f t="shared" si="2229"/>
        <v>0</v>
      </c>
      <c r="AD11" s="172"/>
      <c r="AE11" s="172"/>
      <c r="AF11" s="172">
        <f t="shared" ref="AF11:AK11" si="2230">SUM(SUMIF($C:$C,"2",AF:AF))</f>
        <v>0</v>
      </c>
      <c r="AG11" s="172">
        <f t="shared" si="2230"/>
        <v>0</v>
      </c>
      <c r="AH11" s="172">
        <f t="shared" si="2230"/>
        <v>0</v>
      </c>
      <c r="AI11" s="172">
        <f t="shared" si="2230"/>
        <v>0</v>
      </c>
      <c r="AJ11" s="172">
        <f t="shared" si="2230"/>
        <v>0</v>
      </c>
      <c r="AK11" s="172">
        <f t="shared" si="2230"/>
        <v>0</v>
      </c>
      <c r="AL11" s="172"/>
      <c r="AM11" s="172"/>
      <c r="AN11" s="172">
        <f>SUM(SUMIF($C:$C,"2",AN:AN))</f>
        <v>0</v>
      </c>
      <c r="AO11" s="172"/>
      <c r="AP11" s="172"/>
      <c r="AQ11" s="172">
        <f>SUM(SUMIF($C:$C,"2",AQ:AQ))</f>
        <v>0</v>
      </c>
      <c r="AR11" s="172"/>
      <c r="AS11" s="172">
        <f>SUM(SUMIF($C:$C,"2",AS:AS))</f>
        <v>0</v>
      </c>
      <c r="AT11" s="176">
        <f>SUM(SUMIF($C:$C,"2",AT:AT))</f>
        <v>0</v>
      </c>
      <c r="AU11" s="172">
        <f>SUM(SUMIF($C:$C,"2",AU:AU))</f>
        <v>0</v>
      </c>
      <c r="AV11" s="172"/>
      <c r="AW11" s="172"/>
      <c r="AX11" s="172">
        <f>SUM(SUMIF($C:$C,"2",AX:AX))</f>
        <v>0</v>
      </c>
      <c r="AY11" s="172">
        <v>0</v>
      </c>
      <c r="AZ11" s="172">
        <f>SUM(SUMIF($C:$C,"2",AZ:AZ))</f>
        <v>0</v>
      </c>
      <c r="BA11" s="172">
        <f>SUM(SUMIF($C:$C,"2",BA:BA))</f>
        <v>0</v>
      </c>
      <c r="BB11" s="172">
        <f>SUM(SUMIF($C:$C,"2",BB:BB))</f>
        <v>0</v>
      </c>
      <c r="BC11" s="172">
        <v>0</v>
      </c>
      <c r="BD11" s="172"/>
    </row>
    <row r="12" s="5" customFormat="1" ht="17" customHeight="1">
      <c r="A12" s="44"/>
      <c r="B12" s="45" t="s">
        <v>60</v>
      </c>
      <c r="C12" s="46"/>
      <c r="D12" s="46"/>
      <c r="E12" s="46"/>
      <c r="F12" s="47"/>
      <c r="G12" s="59">
        <f t="shared" ref="G12:P12" si="2231">SUM(SUMIF($C:$C,"贫困",G:G))+SUM(SUMIF($C:$C,"深度贫困",G:G))</f>
        <v>6064235</v>
      </c>
      <c r="H12" s="60">
        <f t="shared" si="2231"/>
        <v>5363024</v>
      </c>
      <c r="I12" s="59">
        <f t="shared" si="2231"/>
        <v>0</v>
      </c>
      <c r="J12" s="59">
        <f t="shared" si="2231"/>
        <v>347075.40000000002</v>
      </c>
      <c r="K12" s="59">
        <f t="shared" si="2231"/>
        <v>1124051.2</v>
      </c>
      <c r="L12" s="59">
        <f t="shared" si="2231"/>
        <v>2443064.3999999999</v>
      </c>
      <c r="M12" s="59">
        <f t="shared" si="2231"/>
        <v>1448833</v>
      </c>
      <c r="N12" s="59">
        <f t="shared" si="2231"/>
        <v>817512</v>
      </c>
      <c r="O12" s="59">
        <f t="shared" si="2231"/>
        <v>951493</v>
      </c>
      <c r="P12" s="59">
        <f t="shared" si="2231"/>
        <v>449662.79999999999</v>
      </c>
      <c r="Q12" s="59">
        <v>100866</v>
      </c>
      <c r="R12" s="59">
        <f>SUM(SUMIF($C:$C,"贫困",R:R))+SUM(SUMIF($C:$C,"深度贫困",R:R))</f>
        <v>58954</v>
      </c>
      <c r="S12" s="59">
        <f>SUM(SUMIF($C:$C,"贫困",S:S))+SUM(SUMIF($C:$C,"深度贫困",S:S))</f>
        <v>254085</v>
      </c>
      <c r="T12" s="59">
        <f>SUM(SUMIF($C:$C,"贫困",T:T))+SUM(SUMIF($C:$C,"深度贫困",T:T))</f>
        <v>70316</v>
      </c>
      <c r="U12" s="59">
        <f>SUM(SUMIF($C:$C,"贫困",U:U))+SUM(SUMIF($C:$C,"深度贫困",U:U))</f>
        <v>133055</v>
      </c>
      <c r="V12" s="59">
        <f>SUM(SUMIF($C:$C,"贫困",V:V))+SUM(SUMIF($C:$C,"深度贫困",V:V))</f>
        <v>91569.806003566104</v>
      </c>
      <c r="W12" s="59"/>
      <c r="X12" s="62">
        <f t="shared" ref="X12:AC12" si="2232">SUM(SUMIF($C:$C,"贫困",X:X))+SUM(SUMIF($C:$C,"深度贫困",X:X))</f>
        <v>55.172602315306399</v>
      </c>
      <c r="Y12" s="62">
        <f t="shared" si="2232"/>
        <v>481.09334458255699</v>
      </c>
      <c r="Z12" s="62">
        <f t="shared" si="2232"/>
        <v>444.86485711858302</v>
      </c>
      <c r="AA12" s="59">
        <f t="shared" si="2232"/>
        <v>35242.614359798201</v>
      </c>
      <c r="AB12" s="59">
        <f t="shared" si="2232"/>
        <v>665330.51963200001</v>
      </c>
      <c r="AC12" s="59">
        <f t="shared" si="2232"/>
        <v>8394.0213666167001</v>
      </c>
      <c r="AD12" s="59"/>
      <c r="AE12" s="59"/>
      <c r="AF12" s="59">
        <f t="shared" ref="AF12:AK12" si="2233">SUM(SUMIF($C:$C,"贫困",AF:AF))+SUM(SUMIF($C:$C,"深度贫困",AF:AF))</f>
        <v>3081</v>
      </c>
      <c r="AG12" s="59">
        <f t="shared" si="2233"/>
        <v>3081</v>
      </c>
      <c r="AH12" s="59">
        <f t="shared" si="2233"/>
        <v>5194.25211796247</v>
      </c>
      <c r="AI12" s="59">
        <f t="shared" si="2233"/>
        <v>73.850694001914206</v>
      </c>
      <c r="AJ12" s="59">
        <f t="shared" si="2233"/>
        <v>73.850694001914206</v>
      </c>
      <c r="AK12" s="59">
        <f t="shared" si="2233"/>
        <v>5039.34263592564</v>
      </c>
      <c r="AL12" s="59"/>
      <c r="AM12" s="59"/>
      <c r="AN12" s="59">
        <f>SUM(SUMIF($C:$C,"贫困",AN:AN))+SUM(SUMIF($C:$C,"深度贫困",AN:AN))</f>
        <v>87000</v>
      </c>
      <c r="AO12" s="59"/>
      <c r="AP12" s="59"/>
      <c r="AQ12" s="59">
        <f>SUM(SUMIF($C:$C,"贫困",AQ:AQ))+SUM(SUMIF($C:$C,"深度贫困",AQ:AQ))</f>
        <v>0</v>
      </c>
      <c r="AR12" s="59"/>
      <c r="AS12" s="59">
        <f>SUM(SUMIF($C:$C,"贫困",AS:AS))+SUM(SUMIF($C:$C,"深度贫困",AS:AS))</f>
        <v>0</v>
      </c>
      <c r="AT12" s="189">
        <f>SUM(SUMIF($C:$C,"贫困",AT:AT))+SUM(SUMIF($C:$C,"深度贫困",AT:AT))</f>
        <v>0.87212729008384604</v>
      </c>
      <c r="AU12" s="59">
        <f>SUM(SUMIF($C:$C,"贫困",AU:AU))+SUM(SUMIF($C:$C,"深度贫困",AU:AU))</f>
        <v>5210.0709884150901</v>
      </c>
      <c r="AV12" s="59"/>
      <c r="AW12" s="59"/>
      <c r="AX12" s="59">
        <f>SUM(SUMIF($C:$C,"贫困",AX:AX))+SUM(SUMIF($C:$C,"深度贫困",AX:AX))</f>
        <v>237650</v>
      </c>
      <c r="AY12" s="59">
        <v>276296</v>
      </c>
      <c r="AZ12" s="59">
        <f>SUM(SUMIF($C:$C,"贫困",AZ:AZ))+SUM(SUMIF($C:$C,"深度贫困",AZ:AZ))</f>
        <v>258597.435494267</v>
      </c>
      <c r="BA12" s="59">
        <f>SUM(SUMIF($C:$C,"贫困",BA:BA))+SUM(SUMIF($C:$C,"深度贫困",BA:BA))</f>
        <v>-20947.435494267302</v>
      </c>
      <c r="BB12" s="43">
        <f t="shared" si="2228"/>
        <v>-8.1004034143763504e-002</v>
      </c>
      <c r="BC12" s="59">
        <f>SUM(SUMIF($C:$C,"贫困",BC:BC))+SUM(SUMIF($C:$C,"深度贫困",BC:BC))</f>
        <v>-13881</v>
      </c>
      <c r="BD12" s="59">
        <f>SUM(SUMIF($C:$C,"贫困",BD:BD))+SUM(SUMIF($C:$C,"深度贫困",BD:BD))</f>
        <v>-34828.435494267302</v>
      </c>
      <c r="BE12" s="135">
        <f>AX12/88</f>
        <v>2700.5681818181802</v>
      </c>
    </row>
    <row r="13" ht="17" customHeight="1">
      <c r="A13" s="44"/>
      <c r="B13" s="45" t="s">
        <v>62</v>
      </c>
      <c r="C13" s="46"/>
      <c r="D13" s="46"/>
      <c r="E13" s="46"/>
      <c r="F13" s="47"/>
      <c r="G13" s="59">
        <f t="shared" ref="G13:P13" si="2234">SUM(SUMIF($C:$C,"非贫困县",G:G))</f>
        <v>588758</v>
      </c>
      <c r="H13" s="60">
        <f t="shared" si="2234"/>
        <v>353254.79999999999</v>
      </c>
      <c r="I13" s="59">
        <f t="shared" si="2234"/>
        <v>353254.79999999999</v>
      </c>
      <c r="J13" s="59">
        <f t="shared" si="2234"/>
        <v>0</v>
      </c>
      <c r="K13" s="59">
        <f t="shared" si="2234"/>
        <v>0</v>
      </c>
      <c r="L13" s="59">
        <f t="shared" si="2234"/>
        <v>0</v>
      </c>
      <c r="M13" s="59">
        <f t="shared" si="2234"/>
        <v>0</v>
      </c>
      <c r="N13" s="59">
        <f t="shared" si="2234"/>
        <v>79348</v>
      </c>
      <c r="O13" s="59">
        <f t="shared" si="2234"/>
        <v>44624</v>
      </c>
      <c r="P13" s="59">
        <f t="shared" si="2234"/>
        <v>3974.4000000000001</v>
      </c>
      <c r="Q13" s="59">
        <v>6624</v>
      </c>
      <c r="R13" s="59">
        <f>SUM(SUMIF($C:$C,"非贫困县",R:R))</f>
        <v>0</v>
      </c>
      <c r="S13" s="59">
        <f>SUM(SUMIF($C:$C,"非贫困县",S:S))</f>
        <v>0</v>
      </c>
      <c r="T13" s="59">
        <f>SUM(SUMIF($C:$C,"非贫困县",T:T))</f>
        <v>0</v>
      </c>
      <c r="U13" s="59">
        <f>SUM(SUMIF($C:$C,"非贫困县",U:U))</f>
        <v>14420</v>
      </c>
      <c r="V13" s="59">
        <f>SUM(SUMIF($C:$C,"非贫困县",V:V))</f>
        <v>7000.86399643392</v>
      </c>
      <c r="W13" s="59"/>
      <c r="X13" s="62">
        <f t="shared" ref="X13:AC13" si="2235">SUM(SUMIF($C:$C,"非贫困县",X:X))</f>
        <v>19.693071831299601</v>
      </c>
      <c r="Y13" s="62">
        <f t="shared" si="2235"/>
        <v>37.948653636747999</v>
      </c>
      <c r="Z13" s="62">
        <f t="shared" si="2235"/>
        <v>7.5897307273496004</v>
      </c>
      <c r="AA13" s="59">
        <f t="shared" si="2235"/>
        <v>601.26564020181195</v>
      </c>
      <c r="AB13" s="59">
        <f t="shared" si="2235"/>
        <v>44937.725599999998</v>
      </c>
      <c r="AC13" s="59">
        <f t="shared" si="2235"/>
        <v>566.94863338329299</v>
      </c>
      <c r="AD13" s="59"/>
      <c r="AE13" s="59"/>
      <c r="AF13" s="59">
        <f t="shared" ref="AF13:AK13" si="2236">SUM(SUMIF($C:$C,"非贫困县",AF:AF))</f>
        <v>925</v>
      </c>
      <c r="AG13" s="59">
        <f t="shared" si="2236"/>
        <v>462.5</v>
      </c>
      <c r="AH13" s="59">
        <f t="shared" si="2236"/>
        <v>779.72788203753396</v>
      </c>
      <c r="AI13" s="59">
        <f t="shared" si="2236"/>
        <v>27.393897563122501</v>
      </c>
      <c r="AJ13" s="59">
        <f t="shared" si="2236"/>
        <v>13.6969487815613</v>
      </c>
      <c r="AK13" s="59">
        <f t="shared" si="2236"/>
        <v>934.63736407436204</v>
      </c>
      <c r="AL13" s="59"/>
      <c r="AM13" s="59"/>
      <c r="AN13" s="59">
        <f>SUM(SUMIF($C:$C,"非贫困县",AN:AN))</f>
        <v>0</v>
      </c>
      <c r="AO13" s="59"/>
      <c r="AP13" s="59"/>
      <c r="AQ13" s="59">
        <f>SUM(SUMIF($C:$C,"非贫困县",AQ:AQ))</f>
        <v>0</v>
      </c>
      <c r="AR13" s="59"/>
      <c r="AS13" s="59">
        <f>SUM(SUMIF($C:$C,"非贫困县",AS:AS))</f>
        <v>0</v>
      </c>
      <c r="AT13" s="189">
        <f>SUM(SUMIF($C:$C,"非贫困县",AT:AT))</f>
        <v>0.12787270991615399</v>
      </c>
      <c r="AU13" s="59">
        <f>SUM(SUMIF($C:$C,"非贫困县",AU:AU))</f>
        <v>709.16251233099797</v>
      </c>
      <c r="AV13" s="59"/>
      <c r="AW13" s="59"/>
      <c r="AX13" s="59">
        <f>SUM(SUMIF($C:$C,"非贫困县",AX:AX))</f>
        <v>10593</v>
      </c>
      <c r="AY13" s="59">
        <v>23127</v>
      </c>
      <c r="AZ13" s="59">
        <f>SUM(SUMIF($C:$C,"非贫困县",AZ:AZ))</f>
        <v>21645.564505732698</v>
      </c>
      <c r="BA13" s="59">
        <f>SUM(SUMIF($C:$C,"非贫困县",BA:BA))</f>
        <v>-11052.5645057327</v>
      </c>
      <c r="BB13" s="43">
        <f t="shared" si="2228"/>
        <v>-0.51061567383957496</v>
      </c>
      <c r="BC13" s="59">
        <f>SUM(SUMIF($C:$C,"非贫困县",BC:BC))</f>
        <v>12500</v>
      </c>
      <c r="BD13" s="59">
        <f>SUM(SUMIF($C:$C,"非贫困县",BD:BD))</f>
        <v>1447.4354942673101</v>
      </c>
      <c r="BE13" s="135">
        <f>AX13/41</f>
        <v>258.36585365853699</v>
      </c>
    </row>
    <row r="14" s="5" customFormat="1" ht="17" customHeight="1">
      <c r="A14" s="44"/>
      <c r="B14" s="45" t="s">
        <v>64</v>
      </c>
      <c r="C14" s="46"/>
      <c r="D14" s="46"/>
      <c r="E14" s="46"/>
      <c r="F14" s="47"/>
      <c r="G14" s="59">
        <f t="shared" ref="G14:P14" si="2237">SUM(SUMIF($E:$E,"国家",G:G))+SUM(SUMIF($E:$E,"省级",G:G))</f>
        <v>4934288</v>
      </c>
      <c r="H14" s="60">
        <f t="shared" si="2237"/>
        <v>4476433.7999999998</v>
      </c>
      <c r="I14" s="59">
        <f t="shared" si="2237"/>
        <v>0</v>
      </c>
      <c r="J14" s="59">
        <f t="shared" si="2237"/>
        <v>125671.7</v>
      </c>
      <c r="K14" s="59">
        <f t="shared" si="2237"/>
        <v>587220</v>
      </c>
      <c r="L14" s="59">
        <f t="shared" si="2237"/>
        <v>2314709.1000000001</v>
      </c>
      <c r="M14" s="59">
        <f t="shared" si="2237"/>
        <v>1448833</v>
      </c>
      <c r="N14" s="59">
        <f t="shared" si="2237"/>
        <v>663436</v>
      </c>
      <c r="O14" s="59">
        <f t="shared" si="2237"/>
        <v>802791</v>
      </c>
      <c r="P14" s="59">
        <f t="shared" si="2237"/>
        <v>440067</v>
      </c>
      <c r="Q14" s="59">
        <v>84873</v>
      </c>
      <c r="R14" s="59">
        <f t="shared" ref="R14:AC14" si="2238">SUM(SUMIF($E:$E,"国家",R:R))+SUM(SUMIF($E:$E,"省级",R:R))</f>
        <v>58954</v>
      </c>
      <c r="S14" s="59">
        <f t="shared" si="2238"/>
        <v>254085</v>
      </c>
      <c r="T14" s="59">
        <f t="shared" si="2238"/>
        <v>70316</v>
      </c>
      <c r="U14" s="59">
        <f t="shared" si="2238"/>
        <v>111618</v>
      </c>
      <c r="V14" s="59">
        <f t="shared" si="2238"/>
        <v>77006.585829566597</v>
      </c>
      <c r="W14" s="59">
        <f t="shared" si="2238"/>
        <v>656730.09999999998</v>
      </c>
      <c r="X14" s="62">
        <f t="shared" si="2238"/>
        <v>38.051624813216698</v>
      </c>
      <c r="Y14" s="62">
        <f t="shared" si="2238"/>
        <v>408.63636965460802</v>
      </c>
      <c r="Z14" s="62">
        <f t="shared" si="2238"/>
        <v>408.63636965460802</v>
      </c>
      <c r="AA14" s="59">
        <f t="shared" si="2238"/>
        <v>32372.559348481998</v>
      </c>
      <c r="AB14" s="59">
        <f t="shared" si="2238"/>
        <v>561065.64343199995</v>
      </c>
      <c r="AC14" s="59">
        <f t="shared" si="2238"/>
        <v>7078.5825391681601</v>
      </c>
      <c r="AD14" s="59"/>
      <c r="AE14" s="59"/>
      <c r="AF14" s="59">
        <f t="shared" ref="AF14:AK14" si="2239">SUM(SUMIF($E:$E,"国家",AF:AF))+SUM(SUMIF($E:$E,"省级",AF:AF))</f>
        <v>2102</v>
      </c>
      <c r="AG14" s="59">
        <f t="shared" si="2239"/>
        <v>2102</v>
      </c>
      <c r="AH14" s="59">
        <f t="shared" si="2239"/>
        <v>3543.7578552278801</v>
      </c>
      <c r="AI14" s="59">
        <f t="shared" si="2239"/>
        <v>47.393033837488296</v>
      </c>
      <c r="AJ14" s="59">
        <f t="shared" si="2239"/>
        <v>47.393033837488296</v>
      </c>
      <c r="AK14" s="59">
        <f t="shared" si="2239"/>
        <v>3233.9538482459102</v>
      </c>
      <c r="AL14" s="59"/>
      <c r="AM14" s="59"/>
      <c r="AN14" s="59">
        <f>SUM(SUMIF($E:$E,"国家",AN:AN))+SUM(SUMIF($E:$E,"省级",AN:AN))</f>
        <v>87000</v>
      </c>
      <c r="AO14" s="59"/>
      <c r="AP14" s="59"/>
      <c r="AQ14" s="59">
        <f>SUM(SUMIF($E:$E,"国家",AQ:AQ))+SUM(SUMIF($E:$E,"省级",AQ:AQ))</f>
        <v>0</v>
      </c>
      <c r="AR14" s="59"/>
      <c r="AS14" s="59">
        <f>SUM(SUMIF($E:$E,"国家",AS:AS))+SUM(SUMIF($E:$E,"省级",AS:AS))</f>
        <v>0</v>
      </c>
      <c r="AT14" s="189">
        <f>SUM(SUMIF($E:$E,"国家",AT:AT))+SUM(SUMIF($E:$E,"省级",AT:AT))</f>
        <v>0.72533668029615495</v>
      </c>
      <c r="AU14" s="59">
        <f>SUM(SUMIF($E:$E,"国家",AU:AU))+SUM(SUMIF($E:$E,"省级",AU:AU))</f>
        <v>4333.14682135562</v>
      </c>
      <c r="AV14" s="59"/>
      <c r="AW14" s="59"/>
      <c r="AX14" s="59">
        <f>SUM(SUMIF($E:$E,"国家",AX:AX))+SUM(SUMIF($E:$E,"省级",AX:AX))</f>
        <v>214570</v>
      </c>
      <c r="AY14" s="59">
        <v>238197</v>
      </c>
      <c r="AZ14" s="59">
        <f>SUM(SUMIF($E:$E,"国家",AZ:AZ))+SUM(SUMIF($E:$E,"省级",AZ:AZ))</f>
        <v>222938.92543659001</v>
      </c>
      <c r="BA14" s="59">
        <f>SUM(SUMIF($E:$E,"国家",BA:BA))+SUM(SUMIF($E:$E,"省级",BA:BA))</f>
        <v>-8368.9254365897104</v>
      </c>
      <c r="BB14" s="43">
        <f t="shared" si="2228"/>
        <v>-3.75390947103586e-002</v>
      </c>
      <c r="BC14" s="59">
        <f>SUM(SUMIF($E:$E,"国家",BC:BC))+SUM(SUMIF($E:$E,"省级",BC:BC))</f>
        <v>-29297</v>
      </c>
      <c r="BD14" s="59">
        <f>SUM(SUMIF($E:$E,"国家",BD:BD))+SUM(SUMIF($E:$E,"省级",BD:BD))</f>
        <v>-37665.9254365897</v>
      </c>
    </row>
    <row r="15" s="5" customFormat="1" ht="17" customHeight="1">
      <c r="A15" s="44"/>
      <c r="B15" s="45" t="s">
        <v>66</v>
      </c>
      <c r="C15" s="46"/>
      <c r="D15" s="46"/>
      <c r="E15" s="46"/>
      <c r="F15" s="47"/>
      <c r="G15" s="59">
        <f t="shared" ref="G15:P15" si="2240">SUM(SUMIF($E:$E,"国家",G:G))</f>
        <v>3329899</v>
      </c>
      <c r="H15" s="60">
        <f t="shared" si="2240"/>
        <v>3122543.7999999998</v>
      </c>
      <c r="I15" s="59">
        <f t="shared" si="2240"/>
        <v>0</v>
      </c>
      <c r="J15" s="59">
        <f t="shared" si="2240"/>
        <v>0</v>
      </c>
      <c r="K15" s="59">
        <f t="shared" si="2240"/>
        <v>97768.800000000003</v>
      </c>
      <c r="L15" s="59">
        <f t="shared" si="2240"/>
        <v>1646217</v>
      </c>
      <c r="M15" s="59">
        <f t="shared" si="2240"/>
        <v>1378558</v>
      </c>
      <c r="N15" s="59">
        <f t="shared" si="2240"/>
        <v>470414</v>
      </c>
      <c r="O15" s="59">
        <f t="shared" si="2240"/>
        <v>648468</v>
      </c>
      <c r="P15" s="59">
        <f t="shared" si="2240"/>
        <v>416697.59999999998</v>
      </c>
      <c r="Q15" s="59">
        <v>62784</v>
      </c>
      <c r="R15" s="59">
        <f t="shared" ref="R15:AC15" si="2241">SUM(SUMIF($E:$E,"国家",R:R))</f>
        <v>46309</v>
      </c>
      <c r="S15" s="59">
        <f t="shared" si="2241"/>
        <v>254085</v>
      </c>
      <c r="T15" s="59">
        <f t="shared" si="2241"/>
        <v>70316</v>
      </c>
      <c r="U15" s="59">
        <f t="shared" si="2241"/>
        <v>74875</v>
      </c>
      <c r="V15" s="59">
        <f t="shared" si="2241"/>
        <v>56475.070623709798</v>
      </c>
      <c r="W15" s="59">
        <f t="shared" si="2241"/>
        <v>307678.10999999999</v>
      </c>
      <c r="X15" s="62">
        <f t="shared" si="2241"/>
        <v>18.573841943385698</v>
      </c>
      <c r="Y15" s="62">
        <f t="shared" si="2241"/>
        <v>292.65762534056699</v>
      </c>
      <c r="Z15" s="62">
        <f t="shared" si="2241"/>
        <v>292.65762534056699</v>
      </c>
      <c r="AA15" s="59">
        <f t="shared" si="2241"/>
        <v>23184.613628814001</v>
      </c>
      <c r="AB15" s="59">
        <f t="shared" si="2241"/>
        <v>365641.13199999998</v>
      </c>
      <c r="AC15" s="59">
        <f t="shared" si="2241"/>
        <v>4613.0447709200498</v>
      </c>
      <c r="AD15" s="59"/>
      <c r="AE15" s="59"/>
      <c r="AF15" s="59">
        <f t="shared" ref="AF15:AK15" si="2242">SUM(SUMIF($E:$E,"国家",AF:AF))</f>
        <v>1270</v>
      </c>
      <c r="AG15" s="59">
        <f t="shared" si="2242"/>
        <v>1270</v>
      </c>
      <c r="AH15" s="59">
        <f t="shared" si="2242"/>
        <v>2141.0906166219802</v>
      </c>
      <c r="AI15" s="59">
        <f t="shared" si="2242"/>
        <v>23.2013302853208</v>
      </c>
      <c r="AJ15" s="59">
        <f t="shared" si="2242"/>
        <v>23.2013302853208</v>
      </c>
      <c r="AK15" s="59">
        <f t="shared" si="2242"/>
        <v>1583.1869218991901</v>
      </c>
      <c r="AL15" s="59"/>
      <c r="AM15" s="59"/>
      <c r="AN15" s="59">
        <f>SUM(SUMIF($E:$E,"国家",AN:AN))</f>
        <v>27000</v>
      </c>
      <c r="AO15" s="59"/>
      <c r="AP15" s="59"/>
      <c r="AQ15" s="59">
        <f>SUM(SUMIF($E:$E,"国家",AQ:AQ))</f>
        <v>0</v>
      </c>
      <c r="AR15" s="59"/>
      <c r="AS15" s="59">
        <f>SUM(SUMIF($E:$E,"国家",AS:AS))</f>
        <v>0</v>
      </c>
      <c r="AT15" s="189">
        <f>SUM(SUMIF($E:$E,"国家",AT:AT))</f>
        <v>0.50285825273346696</v>
      </c>
      <c r="AU15" s="59">
        <f>SUM(SUMIF($E:$E,"国家",AU:AU))</f>
        <v>3004.0651446646698</v>
      </c>
      <c r="AV15" s="59"/>
      <c r="AW15" s="59"/>
      <c r="AX15" s="59">
        <f>SUM(SUMIF($E:$E,"国家",AX:AX))</f>
        <v>118002</v>
      </c>
      <c r="AY15" s="59">
        <v>173235</v>
      </c>
      <c r="AZ15" s="59">
        <f>SUM(SUMIF($E:$E,"国家",AZ:AZ))</f>
        <v>162138.166089445</v>
      </c>
      <c r="BA15" s="59">
        <f>SUM(SUMIF($E:$E,"国家",BA:BA))</f>
        <v>-44136.166089445403</v>
      </c>
      <c r="BB15" s="43">
        <f t="shared" si="2228"/>
        <v>-0.27221330519488601</v>
      </c>
      <c r="BC15" s="59">
        <f>SUM(SUMIF($E:$E,"国家",BC:BC))</f>
        <v>40797</v>
      </c>
      <c r="BD15" s="59">
        <f>SUM(SUMIF($E:$E,"国家",BD:BD))</f>
        <v>-3339.1660894453598</v>
      </c>
    </row>
    <row r="16" s="5" customFormat="1" ht="17" customHeight="1">
      <c r="A16" s="44"/>
      <c r="B16" s="45" t="s">
        <v>68</v>
      </c>
      <c r="C16" s="46"/>
      <c r="D16" s="46"/>
      <c r="E16" s="46"/>
      <c r="F16" s="47"/>
      <c r="G16" s="59">
        <f t="shared" ref="G16:P16" si="2243">SUM(SUMIF($E:$E,"省级",G:G))</f>
        <v>1604389</v>
      </c>
      <c r="H16" s="60">
        <f t="shared" si="2243"/>
        <v>1353890</v>
      </c>
      <c r="I16" s="59">
        <f t="shared" si="2243"/>
        <v>0</v>
      </c>
      <c r="J16" s="59">
        <f t="shared" si="2243"/>
        <v>125671.7</v>
      </c>
      <c r="K16" s="59">
        <f t="shared" si="2243"/>
        <v>489451.20000000001</v>
      </c>
      <c r="L16" s="59">
        <f t="shared" si="2243"/>
        <v>668492.09999999998</v>
      </c>
      <c r="M16" s="59">
        <f t="shared" si="2243"/>
        <v>70275</v>
      </c>
      <c r="N16" s="59">
        <f t="shared" si="2243"/>
        <v>193022</v>
      </c>
      <c r="O16" s="59">
        <f t="shared" si="2243"/>
        <v>154323</v>
      </c>
      <c r="P16" s="59">
        <f t="shared" si="2243"/>
        <v>23369.400000000001</v>
      </c>
      <c r="Q16" s="59">
        <v>22089</v>
      </c>
      <c r="R16" s="59">
        <f t="shared" ref="R16:AC16" si="2244">SUM(SUMIF($E:$E,"省级",R:R))</f>
        <v>12645</v>
      </c>
      <c r="S16" s="59">
        <f t="shared" si="2244"/>
        <v>0</v>
      </c>
      <c r="T16" s="59">
        <f t="shared" si="2244"/>
        <v>0</v>
      </c>
      <c r="U16" s="59">
        <f t="shared" si="2244"/>
        <v>36743</v>
      </c>
      <c r="V16" s="59">
        <f t="shared" si="2244"/>
        <v>20531.515205856798</v>
      </c>
      <c r="W16" s="59">
        <f t="shared" si="2244"/>
        <v>349051.98999999999</v>
      </c>
      <c r="X16" s="62">
        <f t="shared" si="2244"/>
        <v>19.477782869831</v>
      </c>
      <c r="Y16" s="62">
        <f t="shared" si="2244"/>
        <v>115.97874431404099</v>
      </c>
      <c r="Z16" s="62">
        <f t="shared" si="2244"/>
        <v>115.97874431404099</v>
      </c>
      <c r="AA16" s="59">
        <f t="shared" si="2244"/>
        <v>9187.9457196679796</v>
      </c>
      <c r="AB16" s="59">
        <f t="shared" si="2244"/>
        <v>195424.511432</v>
      </c>
      <c r="AC16" s="59">
        <f t="shared" si="2244"/>
        <v>2465.5377682481098</v>
      </c>
      <c r="AD16" s="59"/>
      <c r="AE16" s="59"/>
      <c r="AF16" s="59">
        <f t="shared" ref="AF16:AK16" si="2245">SUM(SUMIF($E:$E,"省级",AF:AF))</f>
        <v>832</v>
      </c>
      <c r="AG16" s="59">
        <f t="shared" si="2245"/>
        <v>832</v>
      </c>
      <c r="AH16" s="59">
        <f t="shared" si="2245"/>
        <v>1402.6672386058999</v>
      </c>
      <c r="AI16" s="59">
        <f t="shared" si="2245"/>
        <v>24.191703552167599</v>
      </c>
      <c r="AJ16" s="59">
        <f t="shared" si="2245"/>
        <v>24.191703552167599</v>
      </c>
      <c r="AK16" s="59">
        <f t="shared" si="2245"/>
        <v>1650.7669263467201</v>
      </c>
      <c r="AL16" s="59"/>
      <c r="AM16" s="59"/>
      <c r="AN16" s="59">
        <f>SUM(SUMIF($E:$E,"省级",AN:AN))</f>
        <v>60000</v>
      </c>
      <c r="AO16" s="59"/>
      <c r="AP16" s="59"/>
      <c r="AQ16" s="59">
        <f>SUM(SUMIF($E:$E,"省级",AQ:AQ))</f>
        <v>0</v>
      </c>
      <c r="AR16" s="59"/>
      <c r="AS16" s="59">
        <f>SUM(SUMIF($E:$E,"省级",AS:AS))</f>
        <v>0</v>
      </c>
      <c r="AT16" s="189">
        <f>SUM(SUMIF($E:$E,"省级",AT:AT))</f>
        <v>0.22247842756268801</v>
      </c>
      <c r="AU16" s="59">
        <f>SUM(SUMIF($E:$E,"省级",AU:AU))</f>
        <v>1329.08167669095</v>
      </c>
      <c r="AV16" s="59"/>
      <c r="AW16" s="59"/>
      <c r="AX16" s="59">
        <f>SUM(SUMIF($E:$E,"省级",AX:AX))</f>
        <v>96568</v>
      </c>
      <c r="AY16" s="59">
        <v>64962</v>
      </c>
      <c r="AZ16" s="59">
        <f>SUM(SUMIF($E:$E,"省级",AZ:AZ))</f>
        <v>60800.759347144303</v>
      </c>
      <c r="BA16" s="59">
        <f>SUM(SUMIF($E:$E,"省级",BA:BA))</f>
        <v>35767.240652855697</v>
      </c>
      <c r="BB16" s="43">
        <f t="shared" si="2228"/>
        <v>0.58826963736819804</v>
      </c>
      <c r="BC16" s="59">
        <f>SUM(SUMIF($E:$E,"省级",BC:BC))</f>
        <v>-70094</v>
      </c>
      <c r="BD16" s="59">
        <f>SUM(SUMIF($E:$E,"省级",BD:BD))</f>
        <v>-34326.759347144303</v>
      </c>
    </row>
    <row r="17" s="5" customFormat="1" ht="17" customHeight="1">
      <c r="A17" s="44"/>
      <c r="B17" s="45" t="s">
        <v>70</v>
      </c>
      <c r="C17" s="46"/>
      <c r="D17" s="46"/>
      <c r="E17" s="46"/>
      <c r="F17" s="47"/>
      <c r="G17" s="59">
        <f t="shared" ref="G17:P17" si="2246">SUM(SUMIF($F:$F,"是",G:G))</f>
        <v>1248591</v>
      </c>
      <c r="H17" s="60">
        <f t="shared" si="2246"/>
        <v>1088728.3</v>
      </c>
      <c r="I17" s="59">
        <f t="shared" si="2246"/>
        <v>51928.800000000003</v>
      </c>
      <c r="J17" s="59">
        <f t="shared" si="2246"/>
        <v>33762.400000000001</v>
      </c>
      <c r="K17" s="59">
        <f t="shared" si="2246"/>
        <v>252762.39999999999</v>
      </c>
      <c r="L17" s="59">
        <f t="shared" si="2246"/>
        <v>428249.70000000001</v>
      </c>
      <c r="M17" s="59">
        <f t="shared" si="2246"/>
        <v>322025</v>
      </c>
      <c r="N17" s="59">
        <f t="shared" si="2246"/>
        <v>179433</v>
      </c>
      <c r="O17" s="59">
        <f t="shared" si="2246"/>
        <v>162681</v>
      </c>
      <c r="P17" s="59">
        <f t="shared" si="2246"/>
        <v>48601.949999999997</v>
      </c>
      <c r="Q17" s="59">
        <v>21639</v>
      </c>
      <c r="R17" s="59">
        <f t="shared" ref="R17:AC17" si="2247">SUM(SUMIF($F:$F,"是",R:R))</f>
        <v>14281</v>
      </c>
      <c r="S17" s="59">
        <f t="shared" si="2247"/>
        <v>19955</v>
      </c>
      <c r="T17" s="59">
        <f t="shared" si="2247"/>
        <v>3391</v>
      </c>
      <c r="U17" s="59">
        <f t="shared" si="2247"/>
        <v>21435</v>
      </c>
      <c r="V17" s="59">
        <f t="shared" si="2247"/>
        <v>17996.326359876199</v>
      </c>
      <c r="W17" s="59">
        <f t="shared" si="2247"/>
        <v>307110.97999999998</v>
      </c>
      <c r="X17" s="62">
        <f t="shared" si="2247"/>
        <v>13.6117876011373</v>
      </c>
      <c r="Y17" s="62">
        <f t="shared" si="2247"/>
        <v>81.450511369335601</v>
      </c>
      <c r="Z17" s="62">
        <f t="shared" si="2247"/>
        <v>72.318470708534093</v>
      </c>
      <c r="AA17" s="59">
        <f t="shared" si="2247"/>
        <v>5729.1375874895202</v>
      </c>
      <c r="AB17" s="59">
        <f t="shared" si="2247"/>
        <v>136483.88039999999</v>
      </c>
      <c r="AC17" s="59">
        <f t="shared" si="2247"/>
        <v>1721.92402794032</v>
      </c>
      <c r="AD17" s="59"/>
      <c r="AE17" s="59"/>
      <c r="AF17" s="59">
        <f t="shared" ref="AF17:AK17" si="2248">SUM(SUMIF($F:$F,"是",AF:AF))</f>
        <v>482</v>
      </c>
      <c r="AG17" s="59">
        <f t="shared" si="2248"/>
        <v>442.5</v>
      </c>
      <c r="AH17" s="59">
        <f t="shared" si="2248"/>
        <v>746.00991957104497</v>
      </c>
      <c r="AI17" s="59">
        <f t="shared" si="2248"/>
        <v>19.739867944950799</v>
      </c>
      <c r="AJ17" s="59">
        <f t="shared" si="2248"/>
        <v>18.7909180379764</v>
      </c>
      <c r="AK17" s="59">
        <f t="shared" si="2248"/>
        <v>1282.23404961508</v>
      </c>
      <c r="AL17" s="59"/>
      <c r="AM17" s="59"/>
      <c r="AN17" s="59">
        <f t="shared" ref="AN17:AU17" si="2249">SUM(SUMIF($F:$F,"是",AN:AN))</f>
        <v>23000</v>
      </c>
      <c r="AO17" s="59"/>
      <c r="AP17" s="59"/>
      <c r="AQ17" s="59">
        <f t="shared" si="2249"/>
        <v>0</v>
      </c>
      <c r="AR17" s="59"/>
      <c r="AS17" s="59">
        <f t="shared" si="2249"/>
        <v>0</v>
      </c>
      <c r="AT17" s="189">
        <f t="shared" si="2249"/>
        <v>0.24969205965185201</v>
      </c>
      <c r="AU17" s="59">
        <f t="shared" si="2249"/>
        <v>1491.6553705189699</v>
      </c>
      <c r="AV17" s="59"/>
      <c r="AW17" s="59"/>
      <c r="AX17" s="59">
        <f t="shared" ref="AX17:BA17" si="2250">SUM(SUMIF($F:$F,"是",AX:AX))</f>
        <v>51968</v>
      </c>
      <c r="AY17" s="59">
        <v>88119</v>
      </c>
      <c r="AZ17" s="59">
        <f t="shared" si="2250"/>
        <v>82474.402156814904</v>
      </c>
      <c r="BA17" s="59">
        <f t="shared" si="2250"/>
        <v>-30506.4021568149</v>
      </c>
      <c r="BB17" s="43">
        <f t="shared" si="2228"/>
        <v>-0.36988933971065102</v>
      </c>
      <c r="BC17" s="59">
        <f>SUM(SUMIF($F:$F,"是",BC:BC))</f>
        <v>-78966</v>
      </c>
      <c r="BD17" s="59">
        <f>SUM(SUMIF($F:$F,"是",BD:BD))</f>
        <v>-109472.40215681501</v>
      </c>
    </row>
    <row r="18" s="5" customFormat="1" ht="17" customHeight="1">
      <c r="A18" s="65"/>
      <c r="B18" s="66" t="s">
        <v>72</v>
      </c>
      <c r="C18" s="67">
        <v>1</v>
      </c>
      <c r="D18" s="67"/>
      <c r="E18" s="67"/>
      <c r="F18" s="68"/>
      <c r="G18" s="69">
        <f t="shared" ref="G18:P18" si="2251">G19+G20</f>
        <v>314463</v>
      </c>
      <c r="H18" s="69">
        <f t="shared" si="2251"/>
        <v>235879.10000000001</v>
      </c>
      <c r="I18" s="69">
        <f t="shared" si="2251"/>
        <v>10352.4</v>
      </c>
      <c r="J18" s="69">
        <f t="shared" si="2251"/>
        <v>85683.5</v>
      </c>
      <c r="K18" s="69">
        <f t="shared" si="2251"/>
        <v>139843.20000000001</v>
      </c>
      <c r="L18" s="69">
        <f t="shared" si="2251"/>
        <v>0</v>
      </c>
      <c r="M18" s="69">
        <f t="shared" si="2251"/>
        <v>0</v>
      </c>
      <c r="N18" s="69">
        <f t="shared" si="2251"/>
        <v>31197</v>
      </c>
      <c r="O18" s="69">
        <f t="shared" si="2251"/>
        <v>23091</v>
      </c>
      <c r="P18" s="69">
        <f t="shared" si="2251"/>
        <v>14577.200000000001</v>
      </c>
      <c r="Q18" s="59">
        <v>4542</v>
      </c>
      <c r="R18" s="69">
        <f t="shared" ref="R18:V18" si="2252">R19+R20</f>
        <v>0</v>
      </c>
      <c r="S18" s="69">
        <f t="shared" si="2252"/>
        <v>11852</v>
      </c>
      <c r="T18" s="69">
        <f t="shared" si="2252"/>
        <v>0</v>
      </c>
      <c r="U18" s="69">
        <f t="shared" si="2252"/>
        <v>4672</v>
      </c>
      <c r="V18" s="69">
        <f t="shared" si="2252"/>
        <v>3610.1144466433698</v>
      </c>
      <c r="W18" s="69"/>
      <c r="X18" s="69">
        <f t="shared" ref="X18:AC18" si="2253">X19+X20</f>
        <v>5.7779626336529502</v>
      </c>
      <c r="Y18" s="69">
        <f t="shared" si="2253"/>
        <v>25.8112989378766</v>
      </c>
      <c r="Z18" s="69">
        <f t="shared" si="2253"/>
        <v>24.8040305447457</v>
      </c>
      <c r="AA18" s="69">
        <f t="shared" si="2253"/>
        <v>1964.9987385362599</v>
      </c>
      <c r="AB18" s="69">
        <f t="shared" si="2253"/>
        <v>51131.599699999999</v>
      </c>
      <c r="AC18" s="69">
        <f t="shared" si="2253"/>
        <v>645.09251826969603</v>
      </c>
      <c r="AD18" s="69"/>
      <c r="AE18" s="69"/>
      <c r="AF18" s="69">
        <f t="shared" ref="AF18:AK18" si="2254">AF19+AF20</f>
        <v>202</v>
      </c>
      <c r="AG18" s="69">
        <f t="shared" si="2254"/>
        <v>167.5</v>
      </c>
      <c r="AH18" s="69">
        <f t="shared" si="2254"/>
        <v>282.38793565683602</v>
      </c>
      <c r="AI18" s="69">
        <f t="shared" si="2254"/>
        <v>6.9048654536998999</v>
      </c>
      <c r="AJ18" s="69">
        <f t="shared" si="2254"/>
        <v>4.9078416441760897</v>
      </c>
      <c r="AK18" s="69">
        <f t="shared" si="2254"/>
        <v>334.89591373680099</v>
      </c>
      <c r="AL18" s="69"/>
      <c r="AM18" s="69"/>
      <c r="AN18" s="69">
        <f t="shared" ref="AN18:AU18" si="2255">AN19+AN20</f>
        <v>5000</v>
      </c>
      <c r="AO18" s="69"/>
      <c r="AP18" s="69"/>
      <c r="AQ18" s="69">
        <f t="shared" si="2255"/>
        <v>0</v>
      </c>
      <c r="AR18" s="69"/>
      <c r="AS18" s="69">
        <f t="shared" si="2255"/>
        <v>0</v>
      </c>
      <c r="AT18" s="403">
        <f t="shared" si="2255"/>
        <v>5.4527385075448e-002</v>
      </c>
      <c r="AU18" s="69">
        <f t="shared" si="2255"/>
        <v>270.99900863911603</v>
      </c>
      <c r="AV18" s="69"/>
      <c r="AW18" s="69"/>
      <c r="AX18" s="69">
        <f t="shared" ref="AX18:BA18" si="2256">AX19+AX20</f>
        <v>12106</v>
      </c>
      <c r="AY18" s="69">
        <v>9426</v>
      </c>
      <c r="AZ18" s="69">
        <f t="shared" si="2256"/>
        <v>8822.2030972904595</v>
      </c>
      <c r="BA18" s="69">
        <f t="shared" si="2256"/>
        <v>3283.7969027095401</v>
      </c>
      <c r="BB18" s="336">
        <f t="shared" si="2228"/>
        <v>0.37221959940120702</v>
      </c>
      <c r="BC18" s="404">
        <v>1056</v>
      </c>
      <c r="BD18" s="69">
        <f>BD19+BD20</f>
        <v>3771.7969027095401</v>
      </c>
    </row>
    <row r="19" s="5" customFormat="1" ht="17" customHeight="1">
      <c r="A19" s="44"/>
      <c r="B19" s="72" t="s">
        <v>74</v>
      </c>
      <c r="C19" s="46">
        <v>2</v>
      </c>
      <c r="D19" s="46"/>
      <c r="E19" s="46"/>
      <c r="F19" s="47"/>
      <c r="G19" s="73"/>
      <c r="H19" s="59"/>
      <c r="I19" s="59"/>
      <c r="J19" s="59"/>
      <c r="K19" s="59"/>
      <c r="L19" s="59"/>
      <c r="M19" s="59"/>
      <c r="N19" s="59"/>
      <c r="O19" s="59"/>
      <c r="P19" s="59">
        <f>L19*0.4+M19*0.6+N19*0.8+O19*1</f>
        <v>0</v>
      </c>
      <c r="Q19" s="59"/>
      <c r="R19" s="59"/>
      <c r="S19" s="59"/>
      <c r="T19" s="59"/>
      <c r="U19" s="59"/>
      <c r="V19" s="59"/>
      <c r="W19" s="59"/>
      <c r="X19" s="62"/>
      <c r="Y19" s="62"/>
      <c r="Z19" s="62"/>
      <c r="AA19" s="59"/>
      <c r="AB19" s="59"/>
      <c r="AC19" s="59"/>
      <c r="AD19" s="59"/>
      <c r="AE19" s="59"/>
      <c r="AF19" s="59"/>
      <c r="AG19" s="59"/>
      <c r="AH19" s="59"/>
      <c r="AI19" s="59"/>
      <c r="AJ19" s="59"/>
      <c r="AK19" s="59"/>
      <c r="AL19" s="59"/>
      <c r="AM19" s="59"/>
      <c r="AN19" s="59"/>
      <c r="AO19" s="62"/>
      <c r="AP19" s="62"/>
      <c r="AQ19" s="59"/>
      <c r="AR19" s="59"/>
      <c r="AS19" s="59"/>
      <c r="AT19" s="189"/>
      <c r="AU19" s="59"/>
      <c r="AV19" s="59"/>
      <c r="AW19" s="59"/>
      <c r="AX19" s="59"/>
      <c r="AY19" s="73"/>
      <c r="AZ19" s="73"/>
      <c r="BA19" s="50"/>
      <c r="BB19" s="43"/>
      <c r="BC19" s="50">
        <v>568</v>
      </c>
      <c r="BD19" s="50"/>
    </row>
    <row r="20" s="5" customFormat="1" ht="17" customHeight="1">
      <c r="A20" s="75"/>
      <c r="B20" s="76" t="s">
        <v>76</v>
      </c>
      <c r="C20" s="77">
        <v>3</v>
      </c>
      <c r="D20" s="77"/>
      <c r="E20" s="77"/>
      <c r="F20" s="78"/>
      <c r="G20" s="79">
        <f t="shared" ref="G20:P20" si="2257">SUM(G21:G34)</f>
        <v>314463</v>
      </c>
      <c r="H20" s="79">
        <f t="shared" si="2257"/>
        <v>235879.10000000001</v>
      </c>
      <c r="I20" s="79">
        <f t="shared" si="2257"/>
        <v>10352.4</v>
      </c>
      <c r="J20" s="79">
        <f t="shared" si="2257"/>
        <v>85683.5</v>
      </c>
      <c r="K20" s="79">
        <f t="shared" si="2257"/>
        <v>139843.20000000001</v>
      </c>
      <c r="L20" s="79">
        <f t="shared" si="2257"/>
        <v>0</v>
      </c>
      <c r="M20" s="79">
        <f t="shared" si="2257"/>
        <v>0</v>
      </c>
      <c r="N20" s="79">
        <f t="shared" si="2257"/>
        <v>31197</v>
      </c>
      <c r="O20" s="79">
        <f t="shared" si="2257"/>
        <v>23091</v>
      </c>
      <c r="P20" s="79">
        <f t="shared" si="2257"/>
        <v>14577.200000000001</v>
      </c>
      <c r="Q20" s="59">
        <v>4542</v>
      </c>
      <c r="R20" s="79">
        <f t="shared" ref="R20:V20" si="2258">SUM(R21:R34)</f>
        <v>0</v>
      </c>
      <c r="S20" s="79">
        <f t="shared" si="2258"/>
        <v>11852</v>
      </c>
      <c r="T20" s="79">
        <f t="shared" si="2258"/>
        <v>0</v>
      </c>
      <c r="U20" s="79">
        <f t="shared" si="2258"/>
        <v>4672</v>
      </c>
      <c r="V20" s="79">
        <f t="shared" si="2258"/>
        <v>3610.1144466433698</v>
      </c>
      <c r="W20" s="79"/>
      <c r="X20" s="79">
        <f t="shared" ref="X20:AC20" si="2259">SUM(X21:X34)</f>
        <v>5.7779626336529502</v>
      </c>
      <c r="Y20" s="79">
        <f t="shared" si="2259"/>
        <v>25.8112989378766</v>
      </c>
      <c r="Z20" s="79">
        <f t="shared" si="2259"/>
        <v>24.8040305447457</v>
      </c>
      <c r="AA20" s="79">
        <f t="shared" si="2259"/>
        <v>1964.9987385362599</v>
      </c>
      <c r="AB20" s="79">
        <f t="shared" si="2259"/>
        <v>51131.599699999999</v>
      </c>
      <c r="AC20" s="79">
        <f t="shared" si="2259"/>
        <v>645.09251826969603</v>
      </c>
      <c r="AD20" s="79"/>
      <c r="AE20" s="79"/>
      <c r="AF20" s="79">
        <f t="shared" ref="AF20:AK20" si="2260">SUM(AF21:AF34)</f>
        <v>202</v>
      </c>
      <c r="AG20" s="79">
        <f t="shared" si="2260"/>
        <v>167.5</v>
      </c>
      <c r="AH20" s="79">
        <f t="shared" si="2260"/>
        <v>282.38793565683602</v>
      </c>
      <c r="AI20" s="79">
        <f t="shared" si="2260"/>
        <v>6.9048654536998999</v>
      </c>
      <c r="AJ20" s="79">
        <f t="shared" si="2260"/>
        <v>4.9078416441760897</v>
      </c>
      <c r="AK20" s="79">
        <f t="shared" si="2260"/>
        <v>334.89591373680099</v>
      </c>
      <c r="AL20" s="79"/>
      <c r="AM20" s="79"/>
      <c r="AN20" s="79">
        <f t="shared" ref="AN20:AU20" si="2261">SUM(AN21:AN34)</f>
        <v>5000</v>
      </c>
      <c r="AO20" s="79"/>
      <c r="AP20" s="79"/>
      <c r="AQ20" s="79">
        <f t="shared" si="2261"/>
        <v>0</v>
      </c>
      <c r="AR20" s="79"/>
      <c r="AS20" s="79">
        <f t="shared" si="2261"/>
        <v>0</v>
      </c>
      <c r="AT20" s="405">
        <f t="shared" si="2261"/>
        <v>5.4527385075448e-002</v>
      </c>
      <c r="AU20" s="79">
        <f t="shared" si="2261"/>
        <v>270.99900863911603</v>
      </c>
      <c r="AV20" s="79"/>
      <c r="AW20" s="79"/>
      <c r="AX20" s="79">
        <f t="shared" ref="AX20:BA20" si="2262">SUM(AX21:AX34)</f>
        <v>12106</v>
      </c>
      <c r="AY20" s="79">
        <v>9426</v>
      </c>
      <c r="AZ20" s="79">
        <f t="shared" si="2262"/>
        <v>8822.2030972904595</v>
      </c>
      <c r="BA20" s="79">
        <f t="shared" si="2262"/>
        <v>3283.7969027095401</v>
      </c>
      <c r="BB20" s="337">
        <f t="shared" ref="BB20:BB83" si="2263">BA20/AZ20</f>
        <v>0.37221959940120702</v>
      </c>
      <c r="BC20" s="406">
        <v>488</v>
      </c>
      <c r="BD20" s="79">
        <f>SUM(BD21:BD34)</f>
        <v>3771.7969027095401</v>
      </c>
    </row>
    <row r="21" s="5" customFormat="1" ht="17" customHeight="1">
      <c r="A21" s="46">
        <v>1</v>
      </c>
      <c r="B21" s="82" t="s">
        <v>59</v>
      </c>
      <c r="C21" s="46" t="s">
        <v>78</v>
      </c>
      <c r="D21" s="46"/>
      <c r="E21" s="46"/>
      <c r="F21" s="47"/>
      <c r="G21" s="73">
        <v>3200</v>
      </c>
      <c r="H21" s="59">
        <f t="shared" ref="H21:H34" si="2264">SUM(I21:M21)</f>
        <v>1920</v>
      </c>
      <c r="I21" s="59">
        <f t="shared" ref="I21:I34" si="2265">IF(D21="",G21*0.6,0)</f>
        <v>1920</v>
      </c>
      <c r="J21" s="59">
        <f t="shared" ref="J21:J34" si="2266">IF(D21=2017,G21*0.7,0)</f>
        <v>0</v>
      </c>
      <c r="K21" s="59">
        <f t="shared" ref="K21:K34" si="2267">IF(D21=2018,G21*0.8,0)</f>
        <v>0</v>
      </c>
      <c r="L21" s="59">
        <f t="shared" ref="L21:L34" si="2268">IF(D21=2019,G21*0.9,0)</f>
        <v>0</v>
      </c>
      <c r="M21" s="59">
        <f t="shared" ref="M21:M34" si="2269">IF(D21=2020,G21*1,0)</f>
        <v>0</v>
      </c>
      <c r="N21" s="59"/>
      <c r="O21" s="59"/>
      <c r="P21" s="59">
        <f>Q21*0.6+R21*0.8+S21*1+T21*1.25</f>
        <v>0</v>
      </c>
      <c r="Q21" s="59"/>
      <c r="R21" s="59"/>
      <c r="S21" s="59"/>
      <c r="T21" s="59"/>
      <c r="U21" s="59">
        <v>75</v>
      </c>
      <c r="V21" s="59">
        <f t="shared" ref="V21:V34" si="2270">H21/$H$9*298699*0.12+N21/$N$9*298699*0.15+P21/$P$9*298699*0.035+U21/$U$9*298699*0.025</f>
        <v>15.8370093354904</v>
      </c>
      <c r="W21" s="59">
        <v>11716.66</v>
      </c>
      <c r="X21" s="62">
        <f>($W$64-W21)/($W$64-$W$44)</f>
        <v>0.63609283171588904</v>
      </c>
      <c r="Y21" s="62">
        <f>(G21+N21)*X21/10000</f>
        <v>0.20354970614908499</v>
      </c>
      <c r="Z21" s="62">
        <f>Y21*0.2</f>
        <v>4.0709941229816901e-002</v>
      </c>
      <c r="AA21" s="59">
        <f>Z21/$Z$9*298699*0.12</f>
        <v>3.2250800134343902</v>
      </c>
      <c r="AB21" s="59">
        <v>243.59999999999999</v>
      </c>
      <c r="AC21" s="59">
        <f>(AB21/$AB$9*298699*0.03)</f>
        <v>3.07333504862939</v>
      </c>
      <c r="AD21" s="59"/>
      <c r="AE21" s="59"/>
      <c r="AF21" s="59">
        <v>0</v>
      </c>
      <c r="AG21" s="59">
        <f>AF21*0.5</f>
        <v>0</v>
      </c>
      <c r="AH21" s="59">
        <f t="shared" ref="AH21:AH34" si="2271">AG21/$AG$9*298699*0.02</f>
        <v>0</v>
      </c>
      <c r="AI21" s="59">
        <v>0</v>
      </c>
      <c r="AJ21" s="59">
        <f>AI21*0.5</f>
        <v>0</v>
      </c>
      <c r="AK21" s="59">
        <f t="shared" ref="AK21:AK34" si="2272">AJ21/$AJ$9*298699*0.02</f>
        <v>0</v>
      </c>
      <c r="AL21" s="189"/>
      <c r="AM21" s="59"/>
      <c r="AN21" s="59"/>
      <c r="AO21" s="62"/>
      <c r="AP21" s="62"/>
      <c r="AQ21" s="59"/>
      <c r="AR21" s="59"/>
      <c r="AS21" s="59"/>
      <c r="AT21" s="189">
        <f>VLOOKUP(B:B,综合进度!B:N,13,0)</f>
        <v>2.21886370379617e-003</v>
      </c>
      <c r="AU21" s="59">
        <f>AT21/$AT$9*298699*0.02</f>
        <v>13.2554473892042</v>
      </c>
      <c r="AV21" s="59"/>
      <c r="AW21" s="59"/>
      <c r="AX21" s="59">
        <f>ROUND(V21+AA21+AC21+AN21+AQ21+AS21+AU21+AW21+AH21+AK21,0)-1</f>
        <v>34</v>
      </c>
      <c r="AY21" s="59">
        <v>104</v>
      </c>
      <c r="AZ21" s="59">
        <f t="shared" ref="AZ21:AZ34" si="2273">AY21/$AY$9*280243</f>
        <v>97.338120318078396</v>
      </c>
      <c r="BA21" s="59">
        <f t="shared" ref="BA21:BA34" si="2274">AX21-AZ21</f>
        <v>-63.338120318078403</v>
      </c>
      <c r="BB21" s="43">
        <f t="shared" si="2263"/>
        <v>-0.650702110448652</v>
      </c>
      <c r="BC21" s="50">
        <v>-112</v>
      </c>
      <c r="BD21" s="50">
        <f t="shared" ref="BD21:BD34" si="2275">BC21+BA21</f>
        <v>-175.33812031807801</v>
      </c>
      <c r="BH21" s="407"/>
    </row>
    <row r="22" ht="17" customHeight="1">
      <c r="A22" s="46">
        <v>2</v>
      </c>
      <c r="B22" s="82" t="s">
        <v>57</v>
      </c>
      <c r="C22" s="46" t="s">
        <v>78</v>
      </c>
      <c r="D22" s="46"/>
      <c r="E22" s="46"/>
      <c r="F22" s="47"/>
      <c r="G22" s="73"/>
      <c r="H22" s="59">
        <f t="shared" si="2264"/>
        <v>0</v>
      </c>
      <c r="I22" s="59">
        <f t="shared" si="2265"/>
        <v>0</v>
      </c>
      <c r="J22" s="59">
        <f t="shared" si="2266"/>
        <v>0</v>
      </c>
      <c r="K22" s="59">
        <f t="shared" si="2267"/>
        <v>0</v>
      </c>
      <c r="L22" s="59">
        <f t="shared" si="2268"/>
        <v>0</v>
      </c>
      <c r="M22" s="59">
        <f t="shared" si="2269"/>
        <v>0</v>
      </c>
      <c r="N22" s="59">
        <v>11</v>
      </c>
      <c r="O22" s="59"/>
      <c r="P22" s="59"/>
      <c r="Q22" s="59"/>
      <c r="R22" s="59"/>
      <c r="S22" s="59"/>
      <c r="T22" s="59"/>
      <c r="U22" s="59">
        <v>0</v>
      </c>
      <c r="V22" s="59">
        <f t="shared" si="2270"/>
        <v>0.54953208973529899</v>
      </c>
      <c r="W22" s="59">
        <v>11985.23</v>
      </c>
      <c r="X22" s="62"/>
      <c r="Y22" s="62"/>
      <c r="Z22" s="62"/>
      <c r="AA22" s="59"/>
      <c r="AB22" s="59"/>
      <c r="AC22" s="59"/>
      <c r="AD22" s="59"/>
      <c r="AE22" s="59"/>
      <c r="AF22" s="59"/>
      <c r="AG22" s="59"/>
      <c r="AH22" s="59">
        <f t="shared" si="2271"/>
        <v>0</v>
      </c>
      <c r="AI22" s="59"/>
      <c r="AJ22" s="59"/>
      <c r="AK22" s="59">
        <f t="shared" si="2272"/>
        <v>0</v>
      </c>
      <c r="AL22" s="338"/>
      <c r="AM22" s="59"/>
      <c r="AN22" s="59"/>
      <c r="AO22" s="62"/>
      <c r="AP22" s="62"/>
      <c r="AQ22" s="59"/>
      <c r="AR22" s="59"/>
      <c r="AS22" s="59"/>
      <c r="AT22" s="189">
        <f>VLOOKUP(B:B,综合进度!B:N,13,0)</f>
        <v>1.8155869880251501e-003</v>
      </c>
      <c r="AU22" s="59"/>
      <c r="AV22" s="59"/>
      <c r="AW22" s="59"/>
      <c r="AX22" s="59">
        <v>0</v>
      </c>
      <c r="AY22" s="59">
        <v>0</v>
      </c>
      <c r="AZ22" s="59">
        <f t="shared" si="2273"/>
        <v>0</v>
      </c>
      <c r="BA22" s="59">
        <f t="shared" si="2274"/>
        <v>0</v>
      </c>
      <c r="BB22" s="43"/>
      <c r="BC22" s="50">
        <v>118</v>
      </c>
      <c r="BD22" s="50">
        <f t="shared" si="2275"/>
        <v>118</v>
      </c>
    </row>
    <row r="23" ht="17" customHeight="1">
      <c r="A23" s="46">
        <v>3</v>
      </c>
      <c r="B23" s="82" t="s">
        <v>63</v>
      </c>
      <c r="C23" s="46" t="s">
        <v>78</v>
      </c>
      <c r="D23" s="46"/>
      <c r="E23" s="46"/>
      <c r="F23" s="47"/>
      <c r="G23" s="73"/>
      <c r="H23" s="59">
        <f t="shared" si="2264"/>
        <v>0</v>
      </c>
      <c r="I23" s="59">
        <f t="shared" si="2265"/>
        <v>0</v>
      </c>
      <c r="J23" s="59">
        <f t="shared" si="2266"/>
        <v>0</v>
      </c>
      <c r="K23" s="59">
        <f t="shared" si="2267"/>
        <v>0</v>
      </c>
      <c r="L23" s="59">
        <f t="shared" si="2268"/>
        <v>0</v>
      </c>
      <c r="M23" s="59">
        <f t="shared" si="2269"/>
        <v>0</v>
      </c>
      <c r="N23" s="59"/>
      <c r="O23" s="59"/>
      <c r="P23" s="59"/>
      <c r="Q23" s="59"/>
      <c r="R23" s="59"/>
      <c r="S23" s="59"/>
      <c r="T23" s="59"/>
      <c r="U23" s="59">
        <v>0</v>
      </c>
      <c r="V23" s="59">
        <f t="shared" si="2270"/>
        <v>0</v>
      </c>
      <c r="W23" s="59">
        <v>12812.84</v>
      </c>
      <c r="X23" s="62"/>
      <c r="Y23" s="62"/>
      <c r="Z23" s="62"/>
      <c r="AA23" s="59"/>
      <c r="AB23" s="59"/>
      <c r="AC23" s="59"/>
      <c r="AD23" s="59"/>
      <c r="AE23" s="59"/>
      <c r="AF23" s="59"/>
      <c r="AG23" s="59"/>
      <c r="AH23" s="59">
        <f t="shared" si="2271"/>
        <v>0</v>
      </c>
      <c r="AI23" s="59"/>
      <c r="AJ23" s="59"/>
      <c r="AK23" s="59">
        <f t="shared" si="2272"/>
        <v>0</v>
      </c>
      <c r="AL23" s="338"/>
      <c r="AM23" s="59"/>
      <c r="AN23" s="59"/>
      <c r="AO23" s="62"/>
      <c r="AP23" s="62"/>
      <c r="AQ23" s="59"/>
      <c r="AR23" s="59"/>
      <c r="AS23" s="59"/>
      <c r="AT23" s="189">
        <f>VLOOKUP(B:B,综合进度!B:N,13,0)</f>
        <v>2.1006338585754401e-003</v>
      </c>
      <c r="AU23" s="59"/>
      <c r="AV23" s="59"/>
      <c r="AW23" s="59"/>
      <c r="AX23" s="59">
        <f t="shared" ref="AX23:AX34" si="2276">ROUND(V23+AA23+AC23+AN23+AQ23+AS23+AU23+AW23+AH23+AK23,0)</f>
        <v>0</v>
      </c>
      <c r="AY23" s="59">
        <v>0</v>
      </c>
      <c r="AZ23" s="59">
        <f t="shared" si="2273"/>
        <v>0</v>
      </c>
      <c r="BA23" s="59">
        <f t="shared" si="2274"/>
        <v>0</v>
      </c>
      <c r="BB23" s="43"/>
      <c r="BC23" s="50">
        <v>168</v>
      </c>
      <c r="BD23" s="50">
        <f t="shared" si="2275"/>
        <v>168</v>
      </c>
    </row>
    <row r="24" ht="17" customHeight="1">
      <c r="A24" s="46">
        <v>4</v>
      </c>
      <c r="B24" s="82" t="s">
        <v>61</v>
      </c>
      <c r="C24" s="46" t="s">
        <v>78</v>
      </c>
      <c r="D24" s="46"/>
      <c r="E24" s="46"/>
      <c r="F24" s="47"/>
      <c r="G24" s="73"/>
      <c r="H24" s="59">
        <f t="shared" si="2264"/>
        <v>0</v>
      </c>
      <c r="I24" s="59">
        <f t="shared" si="2265"/>
        <v>0</v>
      </c>
      <c r="J24" s="59">
        <f t="shared" si="2266"/>
        <v>0</v>
      </c>
      <c r="K24" s="59">
        <f t="shared" si="2267"/>
        <v>0</v>
      </c>
      <c r="L24" s="59">
        <f t="shared" si="2268"/>
        <v>0</v>
      </c>
      <c r="M24" s="59">
        <f t="shared" si="2269"/>
        <v>0</v>
      </c>
      <c r="N24" s="59"/>
      <c r="O24" s="59"/>
      <c r="P24" s="59"/>
      <c r="Q24" s="59"/>
      <c r="R24" s="59"/>
      <c r="S24" s="59"/>
      <c r="T24" s="59"/>
      <c r="U24" s="59">
        <v>0</v>
      </c>
      <c r="V24" s="59">
        <f t="shared" si="2270"/>
        <v>0</v>
      </c>
      <c r="W24" s="59"/>
      <c r="X24" s="62"/>
      <c r="Y24" s="62"/>
      <c r="Z24" s="62"/>
      <c r="AA24" s="59"/>
      <c r="AB24" s="59"/>
      <c r="AC24" s="59"/>
      <c r="AD24" s="59"/>
      <c r="AE24" s="59"/>
      <c r="AF24" s="59"/>
      <c r="AG24" s="59"/>
      <c r="AH24" s="59">
        <f t="shared" si="2271"/>
        <v>0</v>
      </c>
      <c r="AI24" s="59"/>
      <c r="AJ24" s="59"/>
      <c r="AK24" s="59">
        <f t="shared" si="2272"/>
        <v>0</v>
      </c>
      <c r="AL24" s="338"/>
      <c r="AM24" s="59"/>
      <c r="AN24" s="59"/>
      <c r="AO24" s="62"/>
      <c r="AP24" s="62"/>
      <c r="AQ24" s="59"/>
      <c r="AR24" s="59"/>
      <c r="AS24" s="59"/>
      <c r="AT24" s="189">
        <f>VLOOKUP(B:B,综合进度!B:N,13,0)</f>
        <v>1.7419487036136399e-003</v>
      </c>
      <c r="AU24" s="59"/>
      <c r="AV24" s="59"/>
      <c r="AW24" s="59"/>
      <c r="AX24" s="59">
        <f t="shared" si="2276"/>
        <v>0</v>
      </c>
      <c r="AY24" s="59">
        <v>0</v>
      </c>
      <c r="AZ24" s="59">
        <f t="shared" si="2273"/>
        <v>0</v>
      </c>
      <c r="BA24" s="59">
        <f t="shared" si="2274"/>
        <v>0</v>
      </c>
      <c r="BB24" s="43"/>
      <c r="BC24" s="50">
        <v>-91</v>
      </c>
      <c r="BD24" s="50">
        <f t="shared" si="2275"/>
        <v>-91</v>
      </c>
    </row>
    <row r="25" ht="17" customHeight="1">
      <c r="A25" s="46">
        <v>5</v>
      </c>
      <c r="B25" s="82" t="s">
        <v>67</v>
      </c>
      <c r="C25" s="46" t="s">
        <v>78</v>
      </c>
      <c r="D25" s="46"/>
      <c r="E25" s="46"/>
      <c r="F25" s="47"/>
      <c r="G25" s="73"/>
      <c r="H25" s="59">
        <f t="shared" si="2264"/>
        <v>0</v>
      </c>
      <c r="I25" s="59">
        <f t="shared" si="2265"/>
        <v>0</v>
      </c>
      <c r="J25" s="59">
        <f t="shared" si="2266"/>
        <v>0</v>
      </c>
      <c r="K25" s="59">
        <f t="shared" si="2267"/>
        <v>0</v>
      </c>
      <c r="L25" s="59">
        <f t="shared" si="2268"/>
        <v>0</v>
      </c>
      <c r="M25" s="59">
        <f t="shared" si="2269"/>
        <v>0</v>
      </c>
      <c r="N25" s="59"/>
      <c r="O25" s="59"/>
      <c r="P25" s="59"/>
      <c r="Q25" s="59"/>
      <c r="R25" s="59"/>
      <c r="S25" s="59"/>
      <c r="T25" s="59"/>
      <c r="U25" s="59">
        <v>0</v>
      </c>
      <c r="V25" s="59">
        <f t="shared" si="2270"/>
        <v>0</v>
      </c>
      <c r="W25" s="59">
        <v>16020.01</v>
      </c>
      <c r="X25" s="62"/>
      <c r="Y25" s="62"/>
      <c r="Z25" s="62"/>
      <c r="AA25" s="59"/>
      <c r="AB25" s="59"/>
      <c r="AC25" s="59"/>
      <c r="AD25" s="59"/>
      <c r="AE25" s="59"/>
      <c r="AF25" s="59"/>
      <c r="AG25" s="59"/>
      <c r="AH25" s="59">
        <f t="shared" si="2271"/>
        <v>0</v>
      </c>
      <c r="AI25" s="59"/>
      <c r="AJ25" s="59"/>
      <c r="AK25" s="59">
        <f t="shared" si="2272"/>
        <v>0</v>
      </c>
      <c r="AL25" s="338"/>
      <c r="AM25" s="59"/>
      <c r="AN25" s="59"/>
      <c r="AO25" s="62"/>
      <c r="AP25" s="62"/>
      <c r="AQ25" s="59"/>
      <c r="AR25" s="59"/>
      <c r="AS25" s="59"/>
      <c r="AT25" s="189">
        <f>VLOOKUP(B:B,综合进度!B:N,13,0)</f>
        <v>1.7382667893930601e-003</v>
      </c>
      <c r="AU25" s="59"/>
      <c r="AV25" s="59"/>
      <c r="AW25" s="59"/>
      <c r="AX25" s="59">
        <f t="shared" si="2276"/>
        <v>0</v>
      </c>
      <c r="AY25" s="59">
        <v>0</v>
      </c>
      <c r="AZ25" s="59">
        <f t="shared" si="2273"/>
        <v>0</v>
      </c>
      <c r="BA25" s="59">
        <f t="shared" si="2274"/>
        <v>0</v>
      </c>
      <c r="BB25" s="43"/>
      <c r="BC25" s="50">
        <v>-91</v>
      </c>
      <c r="BD25" s="50">
        <f t="shared" si="2275"/>
        <v>-91</v>
      </c>
    </row>
    <row r="26" ht="17" customHeight="1">
      <c r="A26" s="46">
        <v>6</v>
      </c>
      <c r="B26" s="82" t="s">
        <v>81</v>
      </c>
      <c r="C26" s="46" t="s">
        <v>78</v>
      </c>
      <c r="D26" s="46"/>
      <c r="E26" s="46"/>
      <c r="F26" s="47"/>
      <c r="G26" s="73"/>
      <c r="H26" s="59">
        <f t="shared" si="2264"/>
        <v>0</v>
      </c>
      <c r="I26" s="59">
        <f t="shared" si="2265"/>
        <v>0</v>
      </c>
      <c r="J26" s="59">
        <f t="shared" si="2266"/>
        <v>0</v>
      </c>
      <c r="K26" s="59">
        <f t="shared" si="2267"/>
        <v>0</v>
      </c>
      <c r="L26" s="59">
        <f t="shared" si="2268"/>
        <v>0</v>
      </c>
      <c r="M26" s="59">
        <f t="shared" si="2269"/>
        <v>0</v>
      </c>
      <c r="N26" s="59"/>
      <c r="O26" s="59"/>
      <c r="P26" s="59"/>
      <c r="Q26" s="59"/>
      <c r="R26" s="59"/>
      <c r="S26" s="59"/>
      <c r="T26" s="59"/>
      <c r="U26" s="59">
        <v>0</v>
      </c>
      <c r="V26" s="59">
        <f t="shared" si="2270"/>
        <v>0</v>
      </c>
      <c r="W26" s="59">
        <v>14377.950000000001</v>
      </c>
      <c r="X26" s="62"/>
      <c r="Y26" s="62"/>
      <c r="Z26" s="62"/>
      <c r="AA26" s="59"/>
      <c r="AB26" s="59"/>
      <c r="AC26" s="59"/>
      <c r="AD26" s="59"/>
      <c r="AE26" s="59"/>
      <c r="AF26" s="59"/>
      <c r="AG26" s="59"/>
      <c r="AH26" s="59">
        <f t="shared" si="2271"/>
        <v>0</v>
      </c>
      <c r="AI26" s="59"/>
      <c r="AJ26" s="59"/>
      <c r="AK26" s="59">
        <f t="shared" si="2272"/>
        <v>0</v>
      </c>
      <c r="AL26" s="338"/>
      <c r="AM26" s="59"/>
      <c r="AN26" s="59"/>
      <c r="AO26" s="62"/>
      <c r="AP26" s="62"/>
      <c r="AQ26" s="59"/>
      <c r="AR26" s="59"/>
      <c r="AS26" s="59"/>
      <c r="AT26" s="189">
        <f>VLOOKUP(B:B,综合进度!B:N,13,0)</f>
        <v>1.7677221031576699e-003</v>
      </c>
      <c r="AU26" s="59"/>
      <c r="AV26" s="59"/>
      <c r="AW26" s="59"/>
      <c r="AX26" s="59">
        <f t="shared" si="2276"/>
        <v>0</v>
      </c>
      <c r="AY26" s="59">
        <v>0</v>
      </c>
      <c r="AZ26" s="59">
        <f t="shared" si="2273"/>
        <v>0</v>
      </c>
      <c r="BA26" s="59">
        <f t="shared" si="2274"/>
        <v>0</v>
      </c>
      <c r="BB26" s="43"/>
      <c r="BC26" s="50">
        <v>309</v>
      </c>
      <c r="BD26" s="50">
        <f t="shared" si="2275"/>
        <v>309</v>
      </c>
    </row>
    <row r="27" ht="17" customHeight="1">
      <c r="A27" s="46">
        <v>7</v>
      </c>
      <c r="B27" s="82" t="s">
        <v>71</v>
      </c>
      <c r="C27" s="46" t="s">
        <v>78</v>
      </c>
      <c r="D27" s="46"/>
      <c r="E27" s="46"/>
      <c r="F27" s="47"/>
      <c r="G27" s="73">
        <v>2323</v>
      </c>
      <c r="H27" s="59">
        <f t="shared" si="2264"/>
        <v>1393.8</v>
      </c>
      <c r="I27" s="59">
        <f t="shared" si="2265"/>
        <v>1393.8</v>
      </c>
      <c r="J27" s="59">
        <f t="shared" si="2266"/>
        <v>0</v>
      </c>
      <c r="K27" s="59">
        <f t="shared" si="2267"/>
        <v>0</v>
      </c>
      <c r="L27" s="59">
        <f t="shared" si="2268"/>
        <v>0</v>
      </c>
      <c r="M27" s="59">
        <f t="shared" si="2269"/>
        <v>0</v>
      </c>
      <c r="N27" s="59">
        <v>723</v>
      </c>
      <c r="O27" s="59">
        <v>36</v>
      </c>
      <c r="P27" s="59">
        <f t="shared" ref="P27:P34" si="2277">Q27*0.6+R27*0.8+S27*1+T27*1.25</f>
        <v>0</v>
      </c>
      <c r="Q27" s="59"/>
      <c r="R27" s="59"/>
      <c r="S27" s="59"/>
      <c r="T27" s="59"/>
      <c r="U27" s="59">
        <v>59</v>
      </c>
      <c r="V27" s="59">
        <f t="shared" si="2270"/>
        <v>47.846553521035702</v>
      </c>
      <c r="W27" s="59">
        <v>11930.32</v>
      </c>
      <c r="X27" s="62">
        <f t="shared" ref="X27:X34" si="2278">($W$64-W27)/($W$64-$W$44)</f>
        <v>0.60161496977579598</v>
      </c>
      <c r="Y27" s="62">
        <f t="shared" ref="Y27:Y34" si="2279">(G27+N27)*X27/10000</f>
        <v>0.183251919793707</v>
      </c>
      <c r="Z27" s="62">
        <f t="shared" ref="Z27:Z31" si="2280">Y27*0.2</f>
        <v>3.6650383958741498e-002</v>
      </c>
      <c r="AA27" s="59">
        <f t="shared" ref="AA27:AA34" si="2281">Z27/$Z$9*298699*0.12</f>
        <v>2.90347805030631</v>
      </c>
      <c r="AB27" s="59">
        <v>128.80000000000001</v>
      </c>
      <c r="AC27" s="59">
        <f t="shared" ref="AC27:AC34" si="2282">(AB27/$AB$9*298699*0.03)</f>
        <v>1.6249817498500201</v>
      </c>
      <c r="AD27" s="59"/>
      <c r="AE27" s="59"/>
      <c r="AF27" s="59">
        <v>7</v>
      </c>
      <c r="AG27" s="59">
        <f t="shared" ref="AG27:AG31" si="2283">AF27*0.5</f>
        <v>3.5</v>
      </c>
      <c r="AH27" s="59">
        <f t="shared" si="2271"/>
        <v>5.9006434316353902</v>
      </c>
      <c r="AI27" s="59">
        <v>1</v>
      </c>
      <c r="AJ27" s="59">
        <f t="shared" ref="AJ27:AJ31" si="2284">AI27*0.5</f>
        <v>0.5</v>
      </c>
      <c r="AK27" s="59">
        <f t="shared" si="2272"/>
        <v>34.118451451485498</v>
      </c>
      <c r="AL27" s="338"/>
      <c r="AM27" s="59"/>
      <c r="AN27" s="59"/>
      <c r="AO27" s="62"/>
      <c r="AP27" s="62"/>
      <c r="AQ27" s="59"/>
      <c r="AR27" s="59"/>
      <c r="AS27" s="59"/>
      <c r="AT27" s="189">
        <f>VLOOKUP(B:B,综合进度!B:N,13,0)</f>
        <v>2.6367375084178899e-003</v>
      </c>
      <c r="AU27" s="59">
        <f t="shared" ref="AU27:AU34" si="2285">AT27/$AT$9*298699*0.02</f>
        <v>15.7518171405383</v>
      </c>
      <c r="AV27" s="59"/>
      <c r="AW27" s="59"/>
      <c r="AX27" s="59">
        <f t="shared" si="2276"/>
        <v>108</v>
      </c>
      <c r="AY27" s="59">
        <v>117</v>
      </c>
      <c r="AZ27" s="59">
        <f t="shared" si="2273"/>
        <v>109.50538535783799</v>
      </c>
      <c r="BA27" s="59">
        <f t="shared" si="2274"/>
        <v>-1.5053853578382499</v>
      </c>
      <c r="BB27" s="43">
        <f t="shared" si="2263"/>
        <v>-1.37471353844288e-002</v>
      </c>
      <c r="BC27" s="50">
        <v>622</v>
      </c>
      <c r="BD27" s="50">
        <f t="shared" si="2275"/>
        <v>620.49461464216199</v>
      </c>
    </row>
    <row r="28" s="5" customFormat="1" ht="17" customHeight="1">
      <c r="A28" s="46">
        <v>8</v>
      </c>
      <c r="B28" s="82" t="s">
        <v>69</v>
      </c>
      <c r="C28" s="46" t="s">
        <v>78</v>
      </c>
      <c r="D28" s="46"/>
      <c r="E28" s="46"/>
      <c r="F28" s="46"/>
      <c r="G28" s="73">
        <v>1149</v>
      </c>
      <c r="H28" s="59">
        <f t="shared" si="2264"/>
        <v>689.39999999999998</v>
      </c>
      <c r="I28" s="59">
        <f t="shared" si="2265"/>
        <v>689.39999999999998</v>
      </c>
      <c r="J28" s="59">
        <f t="shared" si="2266"/>
        <v>0</v>
      </c>
      <c r="K28" s="59">
        <f t="shared" si="2267"/>
        <v>0</v>
      </c>
      <c r="L28" s="59">
        <f t="shared" si="2268"/>
        <v>0</v>
      </c>
      <c r="M28" s="59">
        <f t="shared" si="2269"/>
        <v>0</v>
      </c>
      <c r="N28" s="59">
        <v>99</v>
      </c>
      <c r="O28" s="59">
        <v>0</v>
      </c>
      <c r="P28" s="59">
        <f t="shared" si="2277"/>
        <v>0</v>
      </c>
      <c r="Q28" s="59"/>
      <c r="R28" s="59"/>
      <c r="S28" s="59"/>
      <c r="T28" s="59"/>
      <c r="U28" s="59">
        <v>0</v>
      </c>
      <c r="V28" s="59">
        <f t="shared" si="2270"/>
        <v>9.2686659339048099</v>
      </c>
      <c r="W28" s="59">
        <v>14355.059999999999</v>
      </c>
      <c r="X28" s="62">
        <f t="shared" si="2278"/>
        <v>0.21033980848859599</v>
      </c>
      <c r="Y28" s="62">
        <f t="shared" si="2279"/>
        <v>2.6250408099376801e-002</v>
      </c>
      <c r="Z28" s="62">
        <f t="shared" si="2280"/>
        <v>5.25008161987537e-003</v>
      </c>
      <c r="AA28" s="59">
        <f t="shared" si="2281"/>
        <v>0.41591642703620302</v>
      </c>
      <c r="AB28" s="59">
        <v>72</v>
      </c>
      <c r="AC28" s="59">
        <f t="shared" si="2282"/>
        <v>0.90837489122050896</v>
      </c>
      <c r="AD28" s="59"/>
      <c r="AE28" s="59"/>
      <c r="AF28" s="59"/>
      <c r="AG28" s="59">
        <f t="shared" si="2283"/>
        <v>0</v>
      </c>
      <c r="AH28" s="59">
        <f t="shared" si="2271"/>
        <v>0</v>
      </c>
      <c r="AI28" s="59"/>
      <c r="AJ28" s="59">
        <f t="shared" si="2284"/>
        <v>0</v>
      </c>
      <c r="AK28" s="59">
        <f t="shared" si="2272"/>
        <v>0</v>
      </c>
      <c r="AL28" s="338"/>
      <c r="AM28" s="59"/>
      <c r="AN28" s="59"/>
      <c r="AO28" s="62"/>
      <c r="AP28" s="62"/>
      <c r="AQ28" s="59"/>
      <c r="AR28" s="59"/>
      <c r="AS28" s="59"/>
      <c r="AT28" s="189">
        <f>VLOOKUP(B:B,综合进度!B:N,13,0)</f>
        <v>3.9197995438968397e-003</v>
      </c>
      <c r="AU28" s="59">
        <f t="shared" si="2285"/>
        <v>23.416804079248902</v>
      </c>
      <c r="AV28" s="59"/>
      <c r="AW28" s="59"/>
      <c r="AX28" s="59">
        <f t="shared" si="2276"/>
        <v>34</v>
      </c>
      <c r="AY28" s="59">
        <v>143</v>
      </c>
      <c r="AZ28" s="59">
        <f t="shared" si="2273"/>
        <v>133.839915437358</v>
      </c>
      <c r="BA28" s="59">
        <f t="shared" si="2274"/>
        <v>-99.839915437357902</v>
      </c>
      <c r="BB28" s="43">
        <f t="shared" si="2263"/>
        <v>-0.74596517123538297</v>
      </c>
      <c r="BC28" s="50">
        <v>327</v>
      </c>
      <c r="BD28" s="50">
        <f t="shared" si="2275"/>
        <v>227.160084562642</v>
      </c>
    </row>
    <row r="29" ht="17" customHeight="1">
      <c r="A29" s="46">
        <v>9</v>
      </c>
      <c r="B29" s="82" t="s">
        <v>73</v>
      </c>
      <c r="C29" s="46" t="s">
        <v>78</v>
      </c>
      <c r="D29" s="46"/>
      <c r="E29" s="46"/>
      <c r="F29" s="46"/>
      <c r="G29" s="73">
        <v>3781</v>
      </c>
      <c r="H29" s="59">
        <f t="shared" si="2264"/>
        <v>2268.5999999999999</v>
      </c>
      <c r="I29" s="59">
        <f t="shared" si="2265"/>
        <v>2268.5999999999999</v>
      </c>
      <c r="J29" s="59">
        <f t="shared" si="2266"/>
        <v>0</v>
      </c>
      <c r="K29" s="59">
        <f t="shared" si="2267"/>
        <v>0</v>
      </c>
      <c r="L29" s="59">
        <f t="shared" si="2268"/>
        <v>0</v>
      </c>
      <c r="M29" s="59">
        <f t="shared" si="2269"/>
        <v>0</v>
      </c>
      <c r="N29" s="59">
        <v>1179</v>
      </c>
      <c r="O29" s="59">
        <v>18</v>
      </c>
      <c r="P29" s="59">
        <f t="shared" si="2277"/>
        <v>0</v>
      </c>
      <c r="Q29" s="59"/>
      <c r="R29" s="59"/>
      <c r="S29" s="59"/>
      <c r="T29" s="59"/>
      <c r="U29" s="59">
        <v>0</v>
      </c>
      <c r="V29" s="59">
        <f t="shared" si="2270"/>
        <v>73.125086485735807</v>
      </c>
      <c r="W29" s="59">
        <v>11272.93</v>
      </c>
      <c r="X29" s="62">
        <f t="shared" si="2278"/>
        <v>0.70769660256058597</v>
      </c>
      <c r="Y29" s="62">
        <f t="shared" si="2279"/>
        <v>0.35101751487005101</v>
      </c>
      <c r="Z29" s="62">
        <f t="shared" si="2280"/>
        <v>7.0203502974010096e-002</v>
      </c>
      <c r="AA29" s="59">
        <f t="shared" si="2281"/>
        <v>5.5615878450036202</v>
      </c>
      <c r="AB29" s="59">
        <v>234.90000000000001</v>
      </c>
      <c r="AC29" s="59">
        <f t="shared" si="2282"/>
        <v>2.96357308260691</v>
      </c>
      <c r="AD29" s="59"/>
      <c r="AE29" s="59"/>
      <c r="AF29" s="59">
        <v>38</v>
      </c>
      <c r="AG29" s="59">
        <f t="shared" si="2283"/>
        <v>19</v>
      </c>
      <c r="AH29" s="59">
        <f t="shared" si="2271"/>
        <v>32.032064343163498</v>
      </c>
      <c r="AI29" s="59">
        <v>1</v>
      </c>
      <c r="AJ29" s="59">
        <f t="shared" si="2284"/>
        <v>0.5</v>
      </c>
      <c r="AK29" s="59">
        <f t="shared" si="2272"/>
        <v>34.118451451485498</v>
      </c>
      <c r="AL29" s="338"/>
      <c r="AM29" s="59"/>
      <c r="AN29" s="59"/>
      <c r="AO29" s="62"/>
      <c r="AP29" s="62"/>
      <c r="AQ29" s="59"/>
      <c r="AR29" s="59"/>
      <c r="AS29" s="59"/>
      <c r="AT29" s="189">
        <f>VLOOKUP(B:B,综合进度!B:N,13,0)</f>
        <v>2.2865929690584299e-003</v>
      </c>
      <c r="AU29" s="59">
        <f t="shared" si="2285"/>
        <v>13.660060665295701</v>
      </c>
      <c r="AV29" s="59"/>
      <c r="AW29" s="59"/>
      <c r="AX29" s="59">
        <f t="shared" si="2276"/>
        <v>161</v>
      </c>
      <c r="AY29" s="59">
        <v>117</v>
      </c>
      <c r="AZ29" s="59">
        <f t="shared" si="2273"/>
        <v>109.50538535783799</v>
      </c>
      <c r="BA29" s="59">
        <f t="shared" si="2274"/>
        <v>51.4946146421617</v>
      </c>
      <c r="BB29" s="43">
        <f t="shared" si="2263"/>
        <v>0.47024732595469398</v>
      </c>
      <c r="BC29" s="50">
        <v>647</v>
      </c>
      <c r="BD29" s="50">
        <f t="shared" si="2275"/>
        <v>698.49461464216199</v>
      </c>
    </row>
    <row r="30" ht="17" customHeight="1">
      <c r="A30" s="46">
        <v>10</v>
      </c>
      <c r="B30" s="82" t="s">
        <v>75</v>
      </c>
      <c r="C30" s="46" t="s">
        <v>78</v>
      </c>
      <c r="D30" s="46"/>
      <c r="E30" s="46"/>
      <c r="F30" s="46"/>
      <c r="G30" s="73">
        <v>3751</v>
      </c>
      <c r="H30" s="59">
        <f t="shared" si="2264"/>
        <v>2250.5999999999999</v>
      </c>
      <c r="I30" s="59">
        <f t="shared" si="2265"/>
        <v>2250.5999999999999</v>
      </c>
      <c r="J30" s="59">
        <f t="shared" si="2266"/>
        <v>0</v>
      </c>
      <c r="K30" s="59">
        <f t="shared" si="2267"/>
        <v>0</v>
      </c>
      <c r="L30" s="59">
        <f t="shared" si="2268"/>
        <v>0</v>
      </c>
      <c r="M30" s="59">
        <f t="shared" si="2269"/>
        <v>0</v>
      </c>
      <c r="N30" s="59">
        <v>362</v>
      </c>
      <c r="O30" s="59">
        <v>0</v>
      </c>
      <c r="P30" s="59">
        <f t="shared" si="2277"/>
        <v>0</v>
      </c>
      <c r="Q30" s="59"/>
      <c r="R30" s="59"/>
      <c r="S30" s="59"/>
      <c r="T30" s="59"/>
      <c r="U30" s="59">
        <v>108</v>
      </c>
      <c r="V30" s="59">
        <f t="shared" si="2270"/>
        <v>37.665607998910602</v>
      </c>
      <c r="W30" s="59">
        <v>12043.469999999999</v>
      </c>
      <c r="X30" s="62">
        <f t="shared" si="2278"/>
        <v>0.58335619378346404</v>
      </c>
      <c r="Y30" s="62">
        <f t="shared" si="2279"/>
        <v>0.23993440250313899</v>
      </c>
      <c r="Z30" s="62">
        <f t="shared" si="2280"/>
        <v>4.7986880500627702e-002</v>
      </c>
      <c r="AA30" s="59">
        <f t="shared" si="2281"/>
        <v>3.80156601887423</v>
      </c>
      <c r="AB30" s="59">
        <v>382.06</v>
      </c>
      <c r="AC30" s="59">
        <f t="shared" si="2282"/>
        <v>4.8201904297181599</v>
      </c>
      <c r="AD30" s="59"/>
      <c r="AE30" s="59"/>
      <c r="AF30" s="59">
        <v>16</v>
      </c>
      <c r="AG30" s="59">
        <f t="shared" si="2283"/>
        <v>8</v>
      </c>
      <c r="AH30" s="59">
        <f t="shared" si="2271"/>
        <v>13.487184986595199</v>
      </c>
      <c r="AI30" s="59">
        <v>1</v>
      </c>
      <c r="AJ30" s="59">
        <f t="shared" si="2284"/>
        <v>0.5</v>
      </c>
      <c r="AK30" s="59">
        <f t="shared" si="2272"/>
        <v>34.118451451485498</v>
      </c>
      <c r="AL30" s="338"/>
      <c r="AM30" s="59"/>
      <c r="AN30" s="59"/>
      <c r="AO30" s="62"/>
      <c r="AP30" s="62"/>
      <c r="AQ30" s="59"/>
      <c r="AR30" s="59"/>
      <c r="AS30" s="59"/>
      <c r="AT30" s="189">
        <f>VLOOKUP(B:B,综合进度!B:N,13,0)</f>
        <v>1.9852816580064698e-003</v>
      </c>
      <c r="AU30" s="59">
        <f t="shared" si="2285"/>
        <v>11.860032919297501</v>
      </c>
      <c r="AV30" s="59"/>
      <c r="AW30" s="59"/>
      <c r="AX30" s="59">
        <f t="shared" si="2276"/>
        <v>106</v>
      </c>
      <c r="AY30" s="59">
        <v>121</v>
      </c>
      <c r="AZ30" s="59">
        <f t="shared" si="2273"/>
        <v>113.249159216226</v>
      </c>
      <c r="BA30" s="59">
        <f t="shared" si="2274"/>
        <v>-7.2491592162258804</v>
      </c>
      <c r="BB30" s="43">
        <f t="shared" si="2263"/>
        <v>-6.40107111292995e-002</v>
      </c>
      <c r="BC30" s="50">
        <v>672</v>
      </c>
      <c r="BD30" s="50">
        <f t="shared" si="2275"/>
        <v>664.75084078377404</v>
      </c>
    </row>
    <row r="31" ht="17" customHeight="1">
      <c r="A31" s="46">
        <v>11</v>
      </c>
      <c r="B31" s="82" t="s">
        <v>77</v>
      </c>
      <c r="C31" s="46" t="s">
        <v>78</v>
      </c>
      <c r="D31" s="46"/>
      <c r="E31" s="46"/>
      <c r="F31" s="46"/>
      <c r="G31" s="73">
        <v>3050</v>
      </c>
      <c r="H31" s="59">
        <f t="shared" si="2264"/>
        <v>1830</v>
      </c>
      <c r="I31" s="59">
        <f t="shared" si="2265"/>
        <v>1830</v>
      </c>
      <c r="J31" s="59">
        <f t="shared" si="2266"/>
        <v>0</v>
      </c>
      <c r="K31" s="59">
        <f t="shared" si="2267"/>
        <v>0</v>
      </c>
      <c r="L31" s="59">
        <f t="shared" si="2268"/>
        <v>0</v>
      </c>
      <c r="M31" s="59">
        <f t="shared" si="2269"/>
        <v>0</v>
      </c>
      <c r="N31" s="59">
        <v>501</v>
      </c>
      <c r="O31" s="59">
        <v>251</v>
      </c>
      <c r="P31" s="59">
        <f t="shared" si="2277"/>
        <v>0</v>
      </c>
      <c r="Q31" s="59"/>
      <c r="R31" s="59"/>
      <c r="S31" s="59"/>
      <c r="T31" s="59"/>
      <c r="U31" s="59">
        <v>0</v>
      </c>
      <c r="V31" s="59">
        <f t="shared" si="2270"/>
        <v>36.5036890189863</v>
      </c>
      <c r="W31" s="59">
        <v>11206.99</v>
      </c>
      <c r="X31" s="62">
        <f t="shared" si="2278"/>
        <v>0.71833720078360297</v>
      </c>
      <c r="Y31" s="62">
        <f t="shared" si="2279"/>
        <v>0.255081539998257</v>
      </c>
      <c r="Z31" s="62">
        <f t="shared" si="2280"/>
        <v>5.1016307999651497e-002</v>
      </c>
      <c r="AA31" s="59">
        <f t="shared" si="2281"/>
        <v>4.0415601280304001</v>
      </c>
      <c r="AB31" s="59">
        <v>443</v>
      </c>
      <c r="AC31" s="59">
        <f t="shared" si="2282"/>
        <v>5.5890288445928498</v>
      </c>
      <c r="AD31" s="59"/>
      <c r="AE31" s="59"/>
      <c r="AF31" s="59">
        <v>8</v>
      </c>
      <c r="AG31" s="59">
        <f t="shared" si="2283"/>
        <v>4</v>
      </c>
      <c r="AH31" s="59">
        <f t="shared" si="2271"/>
        <v>6.7435924932975899</v>
      </c>
      <c r="AI31" s="59">
        <v>0.99404761904761896</v>
      </c>
      <c r="AJ31" s="59">
        <f t="shared" si="2284"/>
        <v>0.49702380952380898</v>
      </c>
      <c r="AK31" s="59">
        <f t="shared" si="2272"/>
        <v>33.915365430940902</v>
      </c>
      <c r="AL31" s="338"/>
      <c r="AM31" s="59"/>
      <c r="AN31" s="59"/>
      <c r="AO31" s="62"/>
      <c r="AP31" s="62"/>
      <c r="AQ31" s="59"/>
      <c r="AR31" s="59"/>
      <c r="AS31" s="59"/>
      <c r="AT31" s="189">
        <f>VLOOKUP(B:B,综合进度!B:N,13,0)</f>
        <v>2.5540628249454199e-003</v>
      </c>
      <c r="AU31" s="59">
        <f t="shared" si="2285"/>
        <v>15.257920234967401</v>
      </c>
      <c r="AV31" s="59"/>
      <c r="AW31" s="59"/>
      <c r="AX31" s="59">
        <f t="shared" si="2276"/>
        <v>102</v>
      </c>
      <c r="AY31" s="59">
        <v>176</v>
      </c>
      <c r="AZ31" s="59">
        <f t="shared" si="2273"/>
        <v>164.726049769056</v>
      </c>
      <c r="BA31" s="59">
        <f t="shared" si="2274"/>
        <v>-62.726049769055798</v>
      </c>
      <c r="BB31" s="43">
        <f t="shared" si="2263"/>
        <v>-0.38079010488624598</v>
      </c>
      <c r="BC31" s="50">
        <v>1277</v>
      </c>
      <c r="BD31" s="50">
        <f t="shared" si="2275"/>
        <v>1214.27395023094</v>
      </c>
    </row>
    <row r="32" ht="17" customHeight="1">
      <c r="A32" s="46">
        <v>12</v>
      </c>
      <c r="B32" s="82" t="s">
        <v>79</v>
      </c>
      <c r="C32" s="46" t="s">
        <v>90</v>
      </c>
      <c r="D32" s="46">
        <v>2018</v>
      </c>
      <c r="E32" s="46" t="s">
        <v>91</v>
      </c>
      <c r="F32" s="46"/>
      <c r="G32" s="73">
        <v>81053</v>
      </c>
      <c r="H32" s="59">
        <f t="shared" si="2264"/>
        <v>64842.400000000001</v>
      </c>
      <c r="I32" s="59">
        <f t="shared" si="2265"/>
        <v>0</v>
      </c>
      <c r="J32" s="59">
        <f t="shared" si="2266"/>
        <v>0</v>
      </c>
      <c r="K32" s="59">
        <f t="shared" si="2267"/>
        <v>64842.400000000001</v>
      </c>
      <c r="L32" s="59">
        <f t="shared" si="2268"/>
        <v>0</v>
      </c>
      <c r="M32" s="59">
        <f t="shared" si="2269"/>
        <v>0</v>
      </c>
      <c r="N32" s="59">
        <v>7206</v>
      </c>
      <c r="O32" s="59">
        <v>1833</v>
      </c>
      <c r="P32" s="59">
        <f t="shared" si="2277"/>
        <v>0</v>
      </c>
      <c r="Q32" s="59"/>
      <c r="R32" s="59"/>
      <c r="S32" s="59"/>
      <c r="T32" s="59"/>
      <c r="U32" s="59">
        <v>1604</v>
      </c>
      <c r="V32" s="59">
        <f t="shared" si="2270"/>
        <v>847.806613636017</v>
      </c>
      <c r="W32" s="59">
        <v>10536.059999999999</v>
      </c>
      <c r="X32" s="62">
        <f t="shared" si="2278"/>
        <v>0.82660375470790803</v>
      </c>
      <c r="Y32" s="62">
        <f t="shared" si="2279"/>
        <v>7.2955220786765302</v>
      </c>
      <c r="Z32" s="62">
        <f t="shared" ref="Z32:Z34" si="2286">Y32*1</f>
        <v>7.2955220786765302</v>
      </c>
      <c r="AA32" s="59">
        <f t="shared" si="2281"/>
        <v>577.95815303894403</v>
      </c>
      <c r="AB32" s="59">
        <v>23053.16</v>
      </c>
      <c r="AC32" s="59">
        <f t="shared" si="2282"/>
        <v>290.84599593456898</v>
      </c>
      <c r="AD32" s="59"/>
      <c r="AE32" s="59"/>
      <c r="AF32" s="59">
        <v>27</v>
      </c>
      <c r="AG32" s="59">
        <f t="shared" ref="AG32:AG34" si="2287">AF32</f>
        <v>27</v>
      </c>
      <c r="AH32" s="59">
        <f t="shared" si="2271"/>
        <v>45.519249329758701</v>
      </c>
      <c r="AI32" s="59">
        <v>0.91668337275971301</v>
      </c>
      <c r="AJ32" s="59">
        <f t="shared" ref="AJ32:AJ34" si="2288">AI32</f>
        <v>0.91668337275971301</v>
      </c>
      <c r="AK32" s="59">
        <f t="shared" si="2272"/>
        <v>62.551634299772502</v>
      </c>
      <c r="AL32" s="338"/>
      <c r="AM32" s="59"/>
      <c r="AN32" s="59">
        <v>2000</v>
      </c>
      <c r="AO32" s="62"/>
      <c r="AP32" s="62"/>
      <c r="AQ32" s="59"/>
      <c r="AR32" s="59"/>
      <c r="AS32" s="59"/>
      <c r="AT32" s="189">
        <f>VLOOKUP(B:B,综合进度!B:N,13,0)</f>
        <v>7.5784821471509799e-003</v>
      </c>
      <c r="AU32" s="59">
        <f t="shared" si="2285"/>
        <v>45.273700777437</v>
      </c>
      <c r="AV32" s="59"/>
      <c r="AW32" s="59"/>
      <c r="AX32" s="59">
        <f t="shared" si="2276"/>
        <v>3870</v>
      </c>
      <c r="AY32" s="59">
        <v>1348</v>
      </c>
      <c r="AZ32" s="59">
        <f t="shared" si="2273"/>
        <v>1261.65179027663</v>
      </c>
      <c r="BA32" s="59">
        <f t="shared" si="2274"/>
        <v>2608.34820972337</v>
      </c>
      <c r="BB32" s="43">
        <f t="shared" si="2263"/>
        <v>2.0674073701044402</v>
      </c>
      <c r="BC32" s="50">
        <v>-2740</v>
      </c>
      <c r="BD32" s="50">
        <f t="shared" si="2275"/>
        <v>-131.651790276632</v>
      </c>
    </row>
    <row r="33" s="84" customFormat="1" ht="17" customHeight="1">
      <c r="A33" s="85">
        <v>13</v>
      </c>
      <c r="B33" s="86" t="s">
        <v>65</v>
      </c>
      <c r="C33" s="85" t="s">
        <v>93</v>
      </c>
      <c r="D33" s="85">
        <v>2018</v>
      </c>
      <c r="E33" s="46" t="s">
        <v>94</v>
      </c>
      <c r="F33" s="46"/>
      <c r="G33" s="73">
        <v>93751</v>
      </c>
      <c r="H33" s="59">
        <f t="shared" si="2264"/>
        <v>75000.800000000003</v>
      </c>
      <c r="I33" s="59">
        <f t="shared" si="2265"/>
        <v>0</v>
      </c>
      <c r="J33" s="59">
        <f t="shared" si="2266"/>
        <v>0</v>
      </c>
      <c r="K33" s="59">
        <f t="shared" si="2267"/>
        <v>75000.800000000003</v>
      </c>
      <c r="L33" s="59">
        <f t="shared" si="2268"/>
        <v>0</v>
      </c>
      <c r="M33" s="59">
        <f t="shared" si="2269"/>
        <v>0</v>
      </c>
      <c r="N33" s="59">
        <v>14284</v>
      </c>
      <c r="O33" s="59">
        <v>18112</v>
      </c>
      <c r="P33" s="59">
        <f t="shared" si="2277"/>
        <v>14577.200000000001</v>
      </c>
      <c r="Q33" s="59">
        <v>4542</v>
      </c>
      <c r="R33" s="59"/>
      <c r="S33" s="59">
        <v>11852</v>
      </c>
      <c r="T33" s="59"/>
      <c r="U33" s="59">
        <v>2108</v>
      </c>
      <c r="V33" s="59">
        <f t="shared" si="2270"/>
        <v>1626.5682978473901</v>
      </c>
      <c r="W33" s="59">
        <v>9665.8299999999999</v>
      </c>
      <c r="X33" s="62">
        <f t="shared" si="2278"/>
        <v>0.96703092776850796</v>
      </c>
      <c r="Y33" s="62">
        <f t="shared" si="2279"/>
        <v>10.4473186281471</v>
      </c>
      <c r="Z33" s="62">
        <f t="shared" si="2286"/>
        <v>10.4473186281471</v>
      </c>
      <c r="AA33" s="59">
        <f t="shared" si="2281"/>
        <v>827.64645400519601</v>
      </c>
      <c r="AB33" s="59">
        <v>10971.8547</v>
      </c>
      <c r="AC33" s="59">
        <f t="shared" si="2282"/>
        <v>138.42440721666301</v>
      </c>
      <c r="AD33" s="59"/>
      <c r="AE33" s="59"/>
      <c r="AF33" s="59">
        <v>69</v>
      </c>
      <c r="AG33" s="59">
        <f t="shared" si="2287"/>
        <v>69</v>
      </c>
      <c r="AH33" s="59">
        <f t="shared" si="2271"/>
        <v>116.326970509383</v>
      </c>
      <c r="AI33" s="59">
        <v>0.99413446189256405</v>
      </c>
      <c r="AJ33" s="59">
        <f t="shared" si="2288"/>
        <v>0.99413446189256405</v>
      </c>
      <c r="AK33" s="59">
        <f t="shared" si="2272"/>
        <v>67.836656748660204</v>
      </c>
      <c r="AL33" s="338"/>
      <c r="AM33" s="59"/>
      <c r="AN33" s="59">
        <v>1000</v>
      </c>
      <c r="AO33" s="62"/>
      <c r="AP33" s="62"/>
      <c r="AQ33" s="59"/>
      <c r="AR33" s="59"/>
      <c r="AS33" s="59"/>
      <c r="AT33" s="189">
        <f>VLOOKUP(B:B,综合进度!B:N,13,0)</f>
        <v>1.39221345633283e-002</v>
      </c>
      <c r="AU33" s="59">
        <f t="shared" si="2285"/>
        <v>83.170553438631899</v>
      </c>
      <c r="AV33" s="59"/>
      <c r="AW33" s="59"/>
      <c r="AX33" s="59">
        <f t="shared" si="2276"/>
        <v>3860</v>
      </c>
      <c r="AY33" s="59">
        <v>5338</v>
      </c>
      <c r="AZ33" s="59">
        <f t="shared" si="2273"/>
        <v>4996.0662140183003</v>
      </c>
      <c r="BA33" s="59">
        <f t="shared" si="2274"/>
        <v>-1136.0662140182999</v>
      </c>
      <c r="BB33" s="43">
        <f t="shared" si="2263"/>
        <v>-0.22739214521029499</v>
      </c>
      <c r="BC33" s="50">
        <v>2123</v>
      </c>
      <c r="BD33" s="50">
        <f t="shared" si="2275"/>
        <v>986.93378598170398</v>
      </c>
      <c r="BG33" s="339"/>
    </row>
    <row r="34" ht="17" customHeight="1">
      <c r="A34" s="46">
        <v>14</v>
      </c>
      <c r="B34" s="82" t="s">
        <v>80</v>
      </c>
      <c r="C34" s="46" t="s">
        <v>90</v>
      </c>
      <c r="D34" s="46">
        <v>2017</v>
      </c>
      <c r="E34" s="46" t="s">
        <v>91</v>
      </c>
      <c r="F34" s="46"/>
      <c r="G34" s="73">
        <v>122405</v>
      </c>
      <c r="H34" s="59">
        <f t="shared" si="2264"/>
        <v>85683.5</v>
      </c>
      <c r="I34" s="59">
        <f t="shared" si="2265"/>
        <v>0</v>
      </c>
      <c r="J34" s="59">
        <f t="shared" si="2266"/>
        <v>85683.5</v>
      </c>
      <c r="K34" s="59">
        <f t="shared" si="2267"/>
        <v>0</v>
      </c>
      <c r="L34" s="59">
        <f t="shared" si="2268"/>
        <v>0</v>
      </c>
      <c r="M34" s="59">
        <f t="shared" si="2269"/>
        <v>0</v>
      </c>
      <c r="N34" s="59">
        <v>6832</v>
      </c>
      <c r="O34" s="59">
        <v>2841</v>
      </c>
      <c r="P34" s="59">
        <f t="shared" si="2277"/>
        <v>0</v>
      </c>
      <c r="Q34" s="59"/>
      <c r="R34" s="59"/>
      <c r="S34" s="59"/>
      <c r="T34" s="59"/>
      <c r="U34" s="59">
        <v>718</v>
      </c>
      <c r="V34" s="59">
        <f t="shared" si="2270"/>
        <v>914.94339077616405</v>
      </c>
      <c r="W34" s="59">
        <v>12393.389999999999</v>
      </c>
      <c r="X34" s="62">
        <f t="shared" si="2278"/>
        <v>0.52689034406860102</v>
      </c>
      <c r="Y34" s="62">
        <f t="shared" si="2279"/>
        <v>6.8093727396393797</v>
      </c>
      <c r="Z34" s="62">
        <f t="shared" si="2286"/>
        <v>6.8093727396393797</v>
      </c>
      <c r="AA34" s="59">
        <f t="shared" si="2281"/>
        <v>539.444943009432</v>
      </c>
      <c r="AB34" s="59">
        <v>15602.225</v>
      </c>
      <c r="AC34" s="59">
        <f t="shared" si="2282"/>
        <v>196.842631071846</v>
      </c>
      <c r="AD34" s="59"/>
      <c r="AE34" s="59"/>
      <c r="AF34" s="59">
        <v>37</v>
      </c>
      <c r="AG34" s="59">
        <f t="shared" si="2287"/>
        <v>37</v>
      </c>
      <c r="AH34" s="59">
        <f t="shared" si="2271"/>
        <v>62.378230563002703</v>
      </c>
      <c r="AI34" s="59">
        <v>1</v>
      </c>
      <c r="AJ34" s="59">
        <f t="shared" si="2288"/>
        <v>1</v>
      </c>
      <c r="AK34" s="59">
        <f t="shared" si="2272"/>
        <v>68.236902902970996</v>
      </c>
      <c r="AL34" s="338"/>
      <c r="AM34" s="59"/>
      <c r="AN34" s="59">
        <v>2000</v>
      </c>
      <c r="AO34" s="62"/>
      <c r="AP34" s="62"/>
      <c r="AQ34" s="59"/>
      <c r="AR34" s="59"/>
      <c r="AS34" s="59"/>
      <c r="AT34" s="189">
        <f>VLOOKUP(B:B,综合进度!B:N,13,0)</f>
        <v>8.2612717140825697e-003</v>
      </c>
      <c r="AU34" s="59">
        <f t="shared" si="2285"/>
        <v>49.352671994494898</v>
      </c>
      <c r="AV34" s="59"/>
      <c r="AW34" s="59"/>
      <c r="AX34" s="59">
        <f t="shared" si="2276"/>
        <v>3831</v>
      </c>
      <c r="AY34" s="59">
        <v>1962</v>
      </c>
      <c r="AZ34" s="59">
        <f t="shared" si="2273"/>
        <v>1836.3210775391301</v>
      </c>
      <c r="BA34" s="59">
        <f t="shared" si="2274"/>
        <v>1994.6789224608699</v>
      </c>
      <c r="BB34" s="43">
        <f t="shared" si="2263"/>
        <v>1.0862364685885699</v>
      </c>
      <c r="BC34" s="50">
        <v>-2741</v>
      </c>
      <c r="BD34" s="50">
        <f t="shared" si="2275"/>
        <v>-746.32107753913397</v>
      </c>
    </row>
    <row r="35" s="5" customFormat="1" ht="17" customHeight="1">
      <c r="A35" s="65"/>
      <c r="B35" s="66" t="s">
        <v>82</v>
      </c>
      <c r="C35" s="67">
        <v>1</v>
      </c>
      <c r="D35" s="67"/>
      <c r="E35" s="67"/>
      <c r="F35" s="68"/>
      <c r="G35" s="69">
        <f t="shared" ref="G35:P35" si="2289">G36+G37</f>
        <v>1520677</v>
      </c>
      <c r="H35" s="69">
        <f t="shared" si="2289"/>
        <v>1399657.5</v>
      </c>
      <c r="I35" s="69">
        <f t="shared" si="2289"/>
        <v>6786.6000000000004</v>
      </c>
      <c r="J35" s="69">
        <f t="shared" si="2289"/>
        <v>0</v>
      </c>
      <c r="K35" s="69">
        <f t="shared" si="2289"/>
        <v>76867.199999999997</v>
      </c>
      <c r="L35" s="69">
        <f t="shared" si="2289"/>
        <v>875504.69999999995</v>
      </c>
      <c r="M35" s="69">
        <f t="shared" si="2289"/>
        <v>440499</v>
      </c>
      <c r="N35" s="69">
        <f t="shared" si="2289"/>
        <v>228865</v>
      </c>
      <c r="O35" s="69">
        <f t="shared" si="2289"/>
        <v>306956</v>
      </c>
      <c r="P35" s="69">
        <f t="shared" si="2289"/>
        <v>224471.45000000001</v>
      </c>
      <c r="Q35" s="59">
        <v>18090</v>
      </c>
      <c r="R35" s="69">
        <f t="shared" ref="R35:V35" si="2290">R36+R37</f>
        <v>29259</v>
      </c>
      <c r="S35" s="69">
        <f t="shared" si="2290"/>
        <v>106554</v>
      </c>
      <c r="T35" s="69">
        <f t="shared" si="2290"/>
        <v>66925</v>
      </c>
      <c r="U35" s="69">
        <f t="shared" si="2290"/>
        <v>49660</v>
      </c>
      <c r="V35" s="69">
        <f t="shared" si="2290"/>
        <v>27897.756611609198</v>
      </c>
      <c r="W35" s="69"/>
      <c r="X35" s="69">
        <f t="shared" ref="X35:AC35" si="2291">X36+X37</f>
        <v>9.5793026325556507</v>
      </c>
      <c r="Y35" s="69">
        <f t="shared" si="2291"/>
        <v>151.31705237372199</v>
      </c>
      <c r="Z35" s="69">
        <f t="shared" si="2291"/>
        <v>150.52321043756501</v>
      </c>
      <c r="AA35" s="69">
        <f t="shared" si="2291"/>
        <v>11924.5909690632</v>
      </c>
      <c r="AB35" s="69">
        <f t="shared" si="2291"/>
        <v>164212.370432</v>
      </c>
      <c r="AC35" s="69">
        <f t="shared" si="2291"/>
        <v>2071.7554740031901</v>
      </c>
      <c r="AD35" s="69"/>
      <c r="AE35" s="69"/>
      <c r="AF35" s="69">
        <f t="shared" ref="AF35:AK35" si="2292">AF36+AF37</f>
        <v>730</v>
      </c>
      <c r="AG35" s="69">
        <f t="shared" si="2292"/>
        <v>721.5</v>
      </c>
      <c r="AH35" s="69">
        <f t="shared" si="2292"/>
        <v>1216.3754959785499</v>
      </c>
      <c r="AI35" s="69">
        <f t="shared" si="2292"/>
        <v>9.9106427753936295</v>
      </c>
      <c r="AJ35" s="69">
        <f t="shared" si="2292"/>
        <v>9.4106427753936295</v>
      </c>
      <c r="AK35" s="69">
        <f t="shared" si="2292"/>
        <v>642.15311731908002</v>
      </c>
      <c r="AL35" s="69"/>
      <c r="AM35" s="69"/>
      <c r="AN35" s="69">
        <f t="shared" ref="AN35:AU35" si="2293">AN36+AN37</f>
        <v>12000</v>
      </c>
      <c r="AO35" s="71"/>
      <c r="AP35" s="69"/>
      <c r="AQ35" s="69">
        <f t="shared" si="2293"/>
        <v>0</v>
      </c>
      <c r="AR35" s="69"/>
      <c r="AS35" s="69">
        <f t="shared" si="2293"/>
        <v>0</v>
      </c>
      <c r="AT35" s="403">
        <f t="shared" si="2293"/>
        <v>0.187887539877795</v>
      </c>
      <c r="AU35" s="69">
        <f t="shared" si="2293"/>
        <v>1122.4364054791499</v>
      </c>
      <c r="AV35" s="69"/>
      <c r="AW35" s="71"/>
      <c r="AX35" s="69">
        <f t="shared" ref="AX35:BA35" si="2294">AX36+AX37</f>
        <v>56875</v>
      </c>
      <c r="AY35" s="69">
        <v>61716</v>
      </c>
      <c r="AZ35" s="69">
        <f t="shared" si="2294"/>
        <v>57762.686861062801</v>
      </c>
      <c r="BA35" s="69">
        <f t="shared" si="2294"/>
        <v>-887.68686106277505</v>
      </c>
      <c r="BB35" s="336">
        <f t="shared" si="2263"/>
        <v>-1.53678249628162e-002</v>
      </c>
      <c r="BC35" s="404">
        <v>27908</v>
      </c>
      <c r="BD35" s="69">
        <f>BD36+BD37</f>
        <v>27046.313138937199</v>
      </c>
    </row>
    <row r="36" s="5" customFormat="1" ht="17" customHeight="1">
      <c r="A36" s="44"/>
      <c r="B36" s="72" t="s">
        <v>83</v>
      </c>
      <c r="C36" s="46">
        <v>2</v>
      </c>
      <c r="D36" s="46"/>
      <c r="E36" s="46"/>
      <c r="F36" s="46"/>
      <c r="G36" s="73"/>
      <c r="H36" s="59">
        <f t="shared" ref="H36:H48" si="2295">SUM(I36:M36)</f>
        <v>0</v>
      </c>
      <c r="I36" s="59">
        <f t="shared" ref="I36:I48" si="2296">IF(D36="",G36*0.6,0)</f>
        <v>0</v>
      </c>
      <c r="J36" s="59">
        <f t="shared" ref="J36:J48" si="2297">IF(D36=2017,G36*0.7,0)</f>
        <v>0</v>
      </c>
      <c r="K36" s="59">
        <f t="shared" ref="K36:K48" si="2298">IF(D36=2018,G36*0.8,0)</f>
        <v>0</v>
      </c>
      <c r="L36" s="59">
        <f t="shared" ref="L36:L48" si="2299">IF(D36=2019,G36*0.9,0)</f>
        <v>0</v>
      </c>
      <c r="M36" s="59">
        <f t="shared" ref="M36:M48" si="2300">IF(D36=2020,G36*1,0)</f>
        <v>0</v>
      </c>
      <c r="N36" s="59"/>
      <c r="O36" s="59"/>
      <c r="P36" s="59">
        <f>L36*0.4+M36*0.6+N36*0.8+O36*1</f>
        <v>0</v>
      </c>
      <c r="Q36" s="59"/>
      <c r="R36" s="59"/>
      <c r="S36" s="59"/>
      <c r="T36" s="59"/>
      <c r="U36" s="59"/>
      <c r="V36" s="59">
        <f>H36/$H$9*134866+N36/$N$9*202299+P36/$P$9*100000+U36/$U$9*34867</f>
        <v>0</v>
      </c>
      <c r="W36" s="59"/>
      <c r="X36" s="62"/>
      <c r="Y36" s="62"/>
      <c r="Z36" s="62"/>
      <c r="AA36" s="59"/>
      <c r="AB36" s="59"/>
      <c r="AC36" s="59"/>
      <c r="AD36" s="59"/>
      <c r="AE36" s="59"/>
      <c r="AF36" s="59"/>
      <c r="AG36" s="59">
        <f t="shared" ref="AG36:AG47" si="2301">AF36</f>
        <v>0</v>
      </c>
      <c r="AH36" s="59">
        <f>AG36/$AG$9*40459.89</f>
        <v>0</v>
      </c>
      <c r="AI36" s="59"/>
      <c r="AJ36" s="59">
        <f t="shared" ref="AJ36:AJ47" si="2302">AI36</f>
        <v>0</v>
      </c>
      <c r="AK36" s="59">
        <f>AJ36/$AJ$9*40459.89</f>
        <v>0</v>
      </c>
      <c r="AL36" s="59"/>
      <c r="AM36" s="59"/>
      <c r="AN36" s="59"/>
      <c r="AO36" s="62"/>
      <c r="AP36" s="62"/>
      <c r="AQ36" s="59"/>
      <c r="AR36" s="59"/>
      <c r="AS36" s="59"/>
      <c r="AT36" s="189"/>
      <c r="AU36" s="59"/>
      <c r="AV36" s="59"/>
      <c r="AW36" s="59"/>
      <c r="AX36" s="59">
        <f>V36+AA36+AC36+AE36+AH36+AK36+AM36+AN36+AQ36+AS36+AU36+AW36</f>
        <v>0</v>
      </c>
      <c r="AY36" s="73"/>
      <c r="AZ36" s="170"/>
      <c r="BA36" s="50"/>
      <c r="BB36" s="43"/>
      <c r="BC36" s="50">
        <v>-26</v>
      </c>
      <c r="BD36" s="50"/>
    </row>
    <row r="37" s="5" customFormat="1" ht="17" customHeight="1">
      <c r="A37" s="75"/>
      <c r="B37" s="76" t="s">
        <v>76</v>
      </c>
      <c r="C37" s="77">
        <v>3</v>
      </c>
      <c r="D37" s="77"/>
      <c r="E37" s="77"/>
      <c r="F37" s="78"/>
      <c r="G37" s="79">
        <f t="shared" ref="G37:P37" si="2303">SUM(G38:G48)</f>
        <v>1520677</v>
      </c>
      <c r="H37" s="79">
        <f t="shared" si="2303"/>
        <v>1399657.5</v>
      </c>
      <c r="I37" s="79">
        <f t="shared" si="2303"/>
        <v>6786.6000000000004</v>
      </c>
      <c r="J37" s="79">
        <f t="shared" si="2303"/>
        <v>0</v>
      </c>
      <c r="K37" s="79">
        <f t="shared" si="2303"/>
        <v>76867.199999999997</v>
      </c>
      <c r="L37" s="79">
        <f t="shared" si="2303"/>
        <v>875504.69999999995</v>
      </c>
      <c r="M37" s="79">
        <f t="shared" si="2303"/>
        <v>440499</v>
      </c>
      <c r="N37" s="79">
        <f t="shared" si="2303"/>
        <v>228865</v>
      </c>
      <c r="O37" s="79">
        <f t="shared" si="2303"/>
        <v>306956</v>
      </c>
      <c r="P37" s="79">
        <f t="shared" si="2303"/>
        <v>224471.45000000001</v>
      </c>
      <c r="Q37" s="59">
        <v>18090</v>
      </c>
      <c r="R37" s="79">
        <f t="shared" ref="R37:V37" si="2304">SUM(R38:R48)</f>
        <v>29259</v>
      </c>
      <c r="S37" s="79">
        <f t="shared" si="2304"/>
        <v>106554</v>
      </c>
      <c r="T37" s="79">
        <f t="shared" si="2304"/>
        <v>66925</v>
      </c>
      <c r="U37" s="79">
        <f t="shared" si="2304"/>
        <v>49660</v>
      </c>
      <c r="V37" s="79">
        <f t="shared" si="2304"/>
        <v>27897.756611609198</v>
      </c>
      <c r="W37" s="79"/>
      <c r="X37" s="79">
        <f t="shared" ref="X37:AC37" si="2305">SUM(X38:X48)</f>
        <v>9.5793026325556507</v>
      </c>
      <c r="Y37" s="79">
        <f t="shared" si="2305"/>
        <v>151.31705237372199</v>
      </c>
      <c r="Z37" s="79">
        <f t="shared" si="2305"/>
        <v>150.52321043756501</v>
      </c>
      <c r="AA37" s="79">
        <f t="shared" si="2305"/>
        <v>11924.5909690632</v>
      </c>
      <c r="AB37" s="79">
        <f t="shared" si="2305"/>
        <v>164212.370432</v>
      </c>
      <c r="AC37" s="79">
        <f t="shared" si="2305"/>
        <v>2071.7554740031901</v>
      </c>
      <c r="AD37" s="79"/>
      <c r="AE37" s="79"/>
      <c r="AF37" s="79">
        <f t="shared" ref="AF37:AK37" si="2306">SUM(AF38:AF48)</f>
        <v>730</v>
      </c>
      <c r="AG37" s="79">
        <f t="shared" si="2306"/>
        <v>721.5</v>
      </c>
      <c r="AH37" s="79">
        <f t="shared" si="2306"/>
        <v>1216.3754959785499</v>
      </c>
      <c r="AI37" s="79">
        <f t="shared" si="2306"/>
        <v>9.9106427753936295</v>
      </c>
      <c r="AJ37" s="79">
        <f t="shared" si="2306"/>
        <v>9.4106427753936295</v>
      </c>
      <c r="AK37" s="79">
        <f t="shared" si="2306"/>
        <v>642.15311731908002</v>
      </c>
      <c r="AL37" s="79"/>
      <c r="AM37" s="79"/>
      <c r="AN37" s="79">
        <f t="shared" ref="AN37:AU37" si="2307">SUM(AN38:AN48)</f>
        <v>12000</v>
      </c>
      <c r="AO37" s="81"/>
      <c r="AP37" s="79"/>
      <c r="AQ37" s="79">
        <f t="shared" si="2307"/>
        <v>0</v>
      </c>
      <c r="AR37" s="79"/>
      <c r="AS37" s="79">
        <f t="shared" si="2307"/>
        <v>0</v>
      </c>
      <c r="AT37" s="405">
        <f t="shared" si="2307"/>
        <v>0.187887539877795</v>
      </c>
      <c r="AU37" s="79">
        <f t="shared" si="2307"/>
        <v>1122.4364054791499</v>
      </c>
      <c r="AV37" s="79"/>
      <c r="AW37" s="81"/>
      <c r="AX37" s="79">
        <f t="shared" ref="AX37:BA37" si="2308">SUM(AX38:AX48)</f>
        <v>56875</v>
      </c>
      <c r="AY37" s="79">
        <v>61716</v>
      </c>
      <c r="AZ37" s="79">
        <f t="shared" si="2308"/>
        <v>57762.686861062801</v>
      </c>
      <c r="BA37" s="79">
        <f t="shared" si="2308"/>
        <v>-887.68686106277505</v>
      </c>
      <c r="BB37" s="337">
        <f t="shared" si="2263"/>
        <v>-1.53678249628162e-002</v>
      </c>
      <c r="BC37" s="406">
        <v>27934</v>
      </c>
      <c r="BD37" s="79">
        <f>SUM(BD38:BD48)</f>
        <v>27046.313138937199</v>
      </c>
    </row>
    <row r="38" ht="17" customHeight="1">
      <c r="A38" s="46">
        <v>15</v>
      </c>
      <c r="B38" s="82" t="s">
        <v>84</v>
      </c>
      <c r="C38" s="46" t="s">
        <v>93</v>
      </c>
      <c r="D38" s="46">
        <v>2019</v>
      </c>
      <c r="E38" s="46" t="s">
        <v>94</v>
      </c>
      <c r="F38" s="46"/>
      <c r="G38" s="73">
        <f>179608+30074</f>
        <v>209682</v>
      </c>
      <c r="H38" s="59">
        <f t="shared" si="2295"/>
        <v>188713.79999999999</v>
      </c>
      <c r="I38" s="59">
        <f t="shared" si="2296"/>
        <v>0</v>
      </c>
      <c r="J38" s="59">
        <f t="shared" si="2297"/>
        <v>0</v>
      </c>
      <c r="K38" s="59">
        <f t="shared" si="2298"/>
        <v>0</v>
      </c>
      <c r="L38" s="59">
        <f t="shared" si="2299"/>
        <v>188713.79999999999</v>
      </c>
      <c r="M38" s="59">
        <f t="shared" si="2300"/>
        <v>0</v>
      </c>
      <c r="N38" s="59">
        <v>19743</v>
      </c>
      <c r="O38" s="59">
        <v>34418</v>
      </c>
      <c r="P38" s="59">
        <f t="shared" ref="P38:P48" si="2309">Q38*0.6+R38*0.8+S38*1+T38*1.25</f>
        <v>66391.300000000003</v>
      </c>
      <c r="Q38" s="59">
        <v>5026</v>
      </c>
      <c r="R38" s="59">
        <v>3309</v>
      </c>
      <c r="S38" s="59">
        <f>52956-T38</f>
        <v>21866</v>
      </c>
      <c r="T38" s="59">
        <v>31090</v>
      </c>
      <c r="U38" s="59">
        <v>7208</v>
      </c>
      <c r="V38" s="59">
        <f t="shared" ref="V38:V48" si="2310">H38/$H$9*298699*0.12+N38/$N$9*298699*0.15+P38/$P$9*298699*0.035+U38/$U$9*298699*0.025</f>
        <v>4064.66487828971</v>
      </c>
      <c r="W38" s="59">
        <v>10059.08</v>
      </c>
      <c r="X38" s="62">
        <f t="shared" ref="X38:X48" si="2311">($W$64-W38)/($W$64-$W$44)</f>
        <v>0.90357300767142901</v>
      </c>
      <c r="Y38" s="62">
        <f t="shared" ref="Y38:Y48" si="2312">(G38+N38)*X38/10000</f>
        <v>20.730223728501802</v>
      </c>
      <c r="Z38" s="62">
        <f t="shared" ref="Z38:Z47" si="2313">Y38*1</f>
        <v>20.730223728501802</v>
      </c>
      <c r="AA38" s="59">
        <f t="shared" ref="AA38:AA48" si="2314">Z38/$Z$9*298699*0.12</f>
        <v>1642.26791297471</v>
      </c>
      <c r="AB38" s="59">
        <v>10623.15</v>
      </c>
      <c r="AC38" s="59">
        <f t="shared" ref="AC38:AC48" si="2315">(AB38/$AB$9*298699*0.03)</f>
        <v>134.02503785651601</v>
      </c>
      <c r="AD38" s="59"/>
      <c r="AE38" s="59"/>
      <c r="AF38" s="59">
        <v>135</v>
      </c>
      <c r="AG38" s="59">
        <f t="shared" si="2301"/>
        <v>135</v>
      </c>
      <c r="AH38" s="59">
        <f t="shared" ref="AH38:AH48" si="2316">AG38/$AG$9*298699*0.02</f>
        <v>227.59624664879399</v>
      </c>
      <c r="AI38" s="59">
        <v>0.86429420401314405</v>
      </c>
      <c r="AJ38" s="59">
        <f t="shared" si="2302"/>
        <v>0.86429420401314405</v>
      </c>
      <c r="AK38" s="59">
        <f t="shared" ref="AK38:AK48" si="2317">AJ38/$AJ$9*298699*0.02</f>
        <v>58.976759678845497</v>
      </c>
      <c r="AL38" s="338"/>
      <c r="AM38" s="59"/>
      <c r="AN38" s="59">
        <v>1000</v>
      </c>
      <c r="AO38" s="62"/>
      <c r="AP38" s="62"/>
      <c r="AQ38" s="59"/>
      <c r="AR38" s="59"/>
      <c r="AS38" s="59"/>
      <c r="AT38" s="189">
        <f>VLOOKUP(B:B,综合进度!B:N,13,0)</f>
        <v>2.2819396574886401e-002</v>
      </c>
      <c r="AU38" s="59">
        <f t="shared" ref="AU38:AU48" si="2318">AT38/$AT$9*298699*0.02</f>
        <v>136.32261875044</v>
      </c>
      <c r="AV38" s="59"/>
      <c r="AW38" s="59"/>
      <c r="AX38" s="59">
        <f t="shared" ref="AX38:AX48" si="2319">ROUND(V38+AA38+AC38+AN38+AQ38+AS38+AU38+AW38+AH38+AK38,0)</f>
        <v>7264</v>
      </c>
      <c r="AY38" s="59">
        <v>4106</v>
      </c>
      <c r="AZ38" s="59">
        <f t="shared" ref="AZ38:AZ48" si="2320">AY38/$AY$9*280243</f>
        <v>3842.9838656349002</v>
      </c>
      <c r="BA38" s="59">
        <f t="shared" ref="BA38:BA48" si="2321">AX38-AZ38</f>
        <v>3421.0161343650998</v>
      </c>
      <c r="BB38" s="43">
        <f t="shared" si="2263"/>
        <v>0.89019789152820294</v>
      </c>
      <c r="BC38" s="50">
        <v>8183</v>
      </c>
      <c r="BD38" s="50">
        <f t="shared" ref="BD38:BD48" si="2322">BC38+BA38</f>
        <v>11604.0161343651</v>
      </c>
      <c r="BF38" s="84"/>
      <c r="BG38" s="339"/>
    </row>
    <row r="39" ht="17" customHeight="1">
      <c r="A39" s="46">
        <v>16</v>
      </c>
      <c r="B39" s="82" t="s">
        <v>85</v>
      </c>
      <c r="C39" s="46" t="s">
        <v>93</v>
      </c>
      <c r="D39" s="46">
        <v>2019</v>
      </c>
      <c r="E39" s="46" t="s">
        <v>94</v>
      </c>
      <c r="F39" s="46"/>
      <c r="G39" s="73">
        <f>99652+21811</f>
        <v>121463</v>
      </c>
      <c r="H39" s="59">
        <f t="shared" si="2295"/>
        <v>109316.7</v>
      </c>
      <c r="I39" s="59">
        <f t="shared" si="2296"/>
        <v>0</v>
      </c>
      <c r="J39" s="59">
        <f t="shared" si="2297"/>
        <v>0</v>
      </c>
      <c r="K39" s="59">
        <f t="shared" si="2298"/>
        <v>0</v>
      </c>
      <c r="L39" s="59">
        <f t="shared" si="2299"/>
        <v>109316.7</v>
      </c>
      <c r="M39" s="59">
        <f t="shared" si="2300"/>
        <v>0</v>
      </c>
      <c r="N39" s="59">
        <v>14312</v>
      </c>
      <c r="O39" s="59">
        <v>19688</v>
      </c>
      <c r="P39" s="59">
        <f t="shared" si="2309"/>
        <v>44793.75</v>
      </c>
      <c r="Q39" s="59">
        <v>0</v>
      </c>
      <c r="R39" s="59"/>
      <c r="S39" s="59">
        <f>35835-T39</f>
        <v>0</v>
      </c>
      <c r="T39" s="59">
        <v>35835</v>
      </c>
      <c r="U39" s="59">
        <v>3517</v>
      </c>
      <c r="V39" s="59">
        <f t="shared" si="2310"/>
        <v>2610.8568979842898</v>
      </c>
      <c r="W39" s="59">
        <v>9634.3199999999997</v>
      </c>
      <c r="X39" s="62">
        <f t="shared" si="2311"/>
        <v>0.97211562977043797</v>
      </c>
      <c r="Y39" s="62">
        <f t="shared" si="2312"/>
        <v>13.198899963208101</v>
      </c>
      <c r="Z39" s="62">
        <f t="shared" si="2313"/>
        <v>13.198899963208101</v>
      </c>
      <c r="AA39" s="59">
        <f t="shared" si="2314"/>
        <v>1045.6293274991301</v>
      </c>
      <c r="AB39" s="59">
        <v>12573.790000000001</v>
      </c>
      <c r="AC39" s="59">
        <f t="shared" si="2315"/>
        <v>158.634932270549</v>
      </c>
      <c r="AD39" s="59"/>
      <c r="AE39" s="59"/>
      <c r="AF39" s="59">
        <v>15</v>
      </c>
      <c r="AG39" s="59">
        <f t="shared" si="2301"/>
        <v>15</v>
      </c>
      <c r="AH39" s="59">
        <f t="shared" si="2316"/>
        <v>25.2884718498659</v>
      </c>
      <c r="AI39" s="59">
        <v>0.97603414313854198</v>
      </c>
      <c r="AJ39" s="59">
        <f t="shared" si="2302"/>
        <v>0.97603414313854198</v>
      </c>
      <c r="AK39" s="59">
        <f t="shared" si="2317"/>
        <v>66.601547055329206</v>
      </c>
      <c r="AL39" s="338"/>
      <c r="AM39" s="59"/>
      <c r="AN39" s="59">
        <v>1000</v>
      </c>
      <c r="AO39" s="62"/>
      <c r="AP39" s="62"/>
      <c r="AQ39" s="59"/>
      <c r="AR39" s="59"/>
      <c r="AS39" s="59"/>
      <c r="AT39" s="189">
        <f>VLOOKUP(B:B,综合进度!B:N,13,0)</f>
        <v>1.63429239264569e-002</v>
      </c>
      <c r="AU39" s="59">
        <f t="shared" si="2318"/>
        <v>97.632300678175099</v>
      </c>
      <c r="AV39" s="59"/>
      <c r="AW39" s="59"/>
      <c r="AX39" s="59">
        <f t="shared" si="2319"/>
        <v>5005</v>
      </c>
      <c r="AY39" s="59">
        <v>3277</v>
      </c>
      <c r="AZ39" s="59">
        <f t="shared" si="2320"/>
        <v>3067.08673348407</v>
      </c>
      <c r="BA39" s="59">
        <f t="shared" si="2321"/>
        <v>1937.91326651593</v>
      </c>
      <c r="BB39" s="43">
        <f t="shared" si="2263"/>
        <v>0.63184169047432004</v>
      </c>
      <c r="BC39" s="50">
        <v>5942</v>
      </c>
      <c r="BD39" s="50">
        <f t="shared" si="2322"/>
        <v>7879.9132665159304</v>
      </c>
      <c r="BF39" s="84"/>
      <c r="BG39" s="339"/>
    </row>
    <row r="40" ht="17" customHeight="1">
      <c r="A40" s="46">
        <v>17</v>
      </c>
      <c r="B40" s="82" t="s">
        <v>86</v>
      </c>
      <c r="C40" s="46" t="s">
        <v>93</v>
      </c>
      <c r="D40" s="46">
        <v>2019</v>
      </c>
      <c r="E40" s="46" t="s">
        <v>94</v>
      </c>
      <c r="F40" s="46"/>
      <c r="G40" s="73">
        <f>143330-13821</f>
        <v>129509</v>
      </c>
      <c r="H40" s="59">
        <f t="shared" si="2295"/>
        <v>116558.10000000001</v>
      </c>
      <c r="I40" s="59">
        <f t="shared" si="2296"/>
        <v>0</v>
      </c>
      <c r="J40" s="59">
        <f t="shared" si="2297"/>
        <v>0</v>
      </c>
      <c r="K40" s="59">
        <f t="shared" si="2298"/>
        <v>0</v>
      </c>
      <c r="L40" s="59">
        <f t="shared" si="2299"/>
        <v>116558.10000000001</v>
      </c>
      <c r="M40" s="59">
        <f t="shared" si="2300"/>
        <v>0</v>
      </c>
      <c r="N40" s="59">
        <v>21282</v>
      </c>
      <c r="O40" s="59">
        <v>26169</v>
      </c>
      <c r="P40" s="59">
        <f t="shared" si="2309"/>
        <v>588.60000000000002</v>
      </c>
      <c r="Q40" s="59">
        <v>981</v>
      </c>
      <c r="R40" s="59"/>
      <c r="S40" s="59"/>
      <c r="T40" s="59"/>
      <c r="U40" s="59">
        <v>3894</v>
      </c>
      <c r="V40" s="59">
        <f t="shared" si="2310"/>
        <v>2004.8109048522599</v>
      </c>
      <c r="W40" s="59">
        <v>9470.0300000000007</v>
      </c>
      <c r="X40" s="62">
        <f t="shared" si="2311"/>
        <v>0.99862675931334699</v>
      </c>
      <c r="Y40" s="62">
        <f t="shared" si="2312"/>
        <v>15.0583927663619</v>
      </c>
      <c r="Z40" s="62">
        <f t="shared" si="2313"/>
        <v>15.0583927663619</v>
      </c>
      <c r="AA40" s="59">
        <f t="shared" si="2314"/>
        <v>1192.9401045086499</v>
      </c>
      <c r="AB40" s="59">
        <v>11513.559999999999</v>
      </c>
      <c r="AC40" s="59">
        <f t="shared" si="2315"/>
        <v>145.258733507789</v>
      </c>
      <c r="AD40" s="59"/>
      <c r="AE40" s="59"/>
      <c r="AF40" s="59">
        <v>86</v>
      </c>
      <c r="AG40" s="59">
        <f t="shared" si="2301"/>
        <v>86</v>
      </c>
      <c r="AH40" s="59">
        <f t="shared" si="2316"/>
        <v>144.987238605898</v>
      </c>
      <c r="AI40" s="59">
        <v>0.85737385836202995</v>
      </c>
      <c r="AJ40" s="59">
        <f t="shared" si="2302"/>
        <v>0.85737385836202995</v>
      </c>
      <c r="AK40" s="59">
        <f t="shared" si="2317"/>
        <v>58.504536724595397</v>
      </c>
      <c r="AL40" s="338"/>
      <c r="AM40" s="59"/>
      <c r="AN40" s="59">
        <v>1000</v>
      </c>
      <c r="AO40" s="62"/>
      <c r="AP40" s="62"/>
      <c r="AQ40" s="59"/>
      <c r="AR40" s="59"/>
      <c r="AS40" s="59"/>
      <c r="AT40" s="189">
        <f>VLOOKUP(B:B,综合进度!B:N,13,0)</f>
        <v>1.3936707806400699e-002</v>
      </c>
      <c r="AU40" s="59">
        <f t="shared" si="2318"/>
        <v>83.257613701281798</v>
      </c>
      <c r="AV40" s="59"/>
      <c r="AW40" s="59"/>
      <c r="AX40" s="59">
        <f t="shared" si="2319"/>
        <v>4630</v>
      </c>
      <c r="AY40" s="59">
        <v>4413</v>
      </c>
      <c r="AZ40" s="59">
        <f t="shared" si="2320"/>
        <v>4130.3185092661597</v>
      </c>
      <c r="BA40" s="59">
        <f t="shared" si="2321"/>
        <v>499.68149073384501</v>
      </c>
      <c r="BB40" s="43">
        <f t="shared" si="2263"/>
        <v>0.120978924412932</v>
      </c>
      <c r="BC40" s="50">
        <v>1715</v>
      </c>
      <c r="BD40" s="50">
        <f t="shared" si="2322"/>
        <v>2214.6814907338398</v>
      </c>
      <c r="BF40" s="84"/>
      <c r="BG40" s="339"/>
    </row>
    <row r="41" ht="17" customHeight="1">
      <c r="A41" s="46">
        <v>18</v>
      </c>
      <c r="B41" s="82" t="s">
        <v>87</v>
      </c>
      <c r="C41" s="46" t="s">
        <v>90</v>
      </c>
      <c r="D41" s="46">
        <v>2019</v>
      </c>
      <c r="E41" s="46" t="s">
        <v>94</v>
      </c>
      <c r="F41" s="46"/>
      <c r="G41" s="73">
        <f>93810</f>
        <v>93810</v>
      </c>
      <c r="H41" s="59">
        <f t="shared" si="2295"/>
        <v>84429</v>
      </c>
      <c r="I41" s="59">
        <f t="shared" si="2296"/>
        <v>0</v>
      </c>
      <c r="J41" s="59">
        <f t="shared" si="2297"/>
        <v>0</v>
      </c>
      <c r="K41" s="59">
        <f t="shared" si="2298"/>
        <v>0</v>
      </c>
      <c r="L41" s="59">
        <f t="shared" si="2299"/>
        <v>84429</v>
      </c>
      <c r="M41" s="59">
        <f t="shared" si="2300"/>
        <v>0</v>
      </c>
      <c r="N41" s="59">
        <v>12277</v>
      </c>
      <c r="O41" s="59">
        <v>28774</v>
      </c>
      <c r="P41" s="59">
        <f t="shared" si="2309"/>
        <v>18762.200000000001</v>
      </c>
      <c r="Q41" s="59">
        <v>3640</v>
      </c>
      <c r="R41" s="59">
        <v>3084</v>
      </c>
      <c r="S41" s="59">
        <v>14111</v>
      </c>
      <c r="T41" s="59"/>
      <c r="U41" s="59">
        <v>1458</v>
      </c>
      <c r="V41" s="59">
        <f t="shared" si="2310"/>
        <v>1648.9570023803701</v>
      </c>
      <c r="W41" s="59">
        <v>11420.52</v>
      </c>
      <c r="X41" s="62">
        <f t="shared" si="2311"/>
        <v>0.68388031666833404</v>
      </c>
      <c r="Y41" s="62">
        <f t="shared" si="2312"/>
        <v>7.25508111543936</v>
      </c>
      <c r="Z41" s="62">
        <f t="shared" si="2313"/>
        <v>7.25508111543936</v>
      </c>
      <c r="AA41" s="59">
        <f t="shared" si="2314"/>
        <v>574.75438171626104</v>
      </c>
      <c r="AB41" s="59">
        <v>7273.5217000000002</v>
      </c>
      <c r="AC41" s="59">
        <f t="shared" si="2315"/>
        <v>91.765062264270995</v>
      </c>
      <c r="AD41" s="59"/>
      <c r="AE41" s="59"/>
      <c r="AF41" s="59">
        <v>37</v>
      </c>
      <c r="AG41" s="59">
        <f t="shared" si="2301"/>
        <v>37</v>
      </c>
      <c r="AH41" s="59">
        <f t="shared" si="2316"/>
        <v>62.378230563002703</v>
      </c>
      <c r="AI41" s="59">
        <v>0.89843485002665102</v>
      </c>
      <c r="AJ41" s="59">
        <f t="shared" si="2302"/>
        <v>0.89843485002665102</v>
      </c>
      <c r="AK41" s="59">
        <f t="shared" si="2317"/>
        <v>61.306411625913903</v>
      </c>
      <c r="AL41" s="338"/>
      <c r="AM41" s="59"/>
      <c r="AN41" s="59">
        <v>1000</v>
      </c>
      <c r="AO41" s="62"/>
      <c r="AP41" s="62"/>
      <c r="AQ41" s="59"/>
      <c r="AR41" s="59"/>
      <c r="AS41" s="59"/>
      <c r="AT41" s="189">
        <f>VLOOKUP(B:B,综合进度!B:N,13,0)</f>
        <v>1.2873672598865e-002</v>
      </c>
      <c r="AU41" s="59">
        <f t="shared" si="2318"/>
        <v>76.907062632167495</v>
      </c>
      <c r="AV41" s="59"/>
      <c r="AW41" s="59"/>
      <c r="AX41" s="59">
        <f t="shared" si="2319"/>
        <v>3516</v>
      </c>
      <c r="AY41" s="59">
        <v>2898</v>
      </c>
      <c r="AZ41" s="59">
        <f t="shared" si="2320"/>
        <v>2712.3641604018399</v>
      </c>
      <c r="BA41" s="59">
        <f t="shared" si="2321"/>
        <v>803.63583959816106</v>
      </c>
      <c r="BB41" s="43">
        <f t="shared" si="2263"/>
        <v>0.29628611501749902</v>
      </c>
      <c r="BC41" s="50">
        <v>1950</v>
      </c>
      <c r="BD41" s="50">
        <f t="shared" si="2322"/>
        <v>2753.6358395981601</v>
      </c>
      <c r="BE41">
        <f>ROUND(5000-BD41,0)</f>
        <v>2246</v>
      </c>
      <c r="BF41" s="84"/>
      <c r="BG41" s="339"/>
    </row>
    <row r="42" ht="17" customHeight="1">
      <c r="A42" s="46">
        <v>19</v>
      </c>
      <c r="B42" s="82" t="s">
        <v>88</v>
      </c>
      <c r="C42" s="46" t="s">
        <v>93</v>
      </c>
      <c r="D42" s="46">
        <v>2019</v>
      </c>
      <c r="E42" s="46" t="s">
        <v>94</v>
      </c>
      <c r="F42" s="46"/>
      <c r="G42" s="73">
        <f>97140-16963</f>
        <v>80177</v>
      </c>
      <c r="H42" s="59">
        <f t="shared" si="2295"/>
        <v>72159.300000000003</v>
      </c>
      <c r="I42" s="59">
        <f t="shared" si="2296"/>
        <v>0</v>
      </c>
      <c r="J42" s="59">
        <f t="shared" si="2297"/>
        <v>0</v>
      </c>
      <c r="K42" s="59">
        <f t="shared" si="2298"/>
        <v>0</v>
      </c>
      <c r="L42" s="59">
        <f t="shared" si="2299"/>
        <v>72159.300000000003</v>
      </c>
      <c r="M42" s="59">
        <f t="shared" si="2300"/>
        <v>0</v>
      </c>
      <c r="N42" s="59">
        <v>18082</v>
      </c>
      <c r="O42" s="59">
        <v>29592</v>
      </c>
      <c r="P42" s="59">
        <f t="shared" si="2309"/>
        <v>555</v>
      </c>
      <c r="Q42" s="59">
        <v>925</v>
      </c>
      <c r="R42" s="59"/>
      <c r="S42" s="59"/>
      <c r="T42" s="59"/>
      <c r="U42" s="59">
        <v>3144</v>
      </c>
      <c r="V42" s="59">
        <f t="shared" si="2310"/>
        <v>1527.7937178656</v>
      </c>
      <c r="W42" s="59">
        <v>10218.719999999999</v>
      </c>
      <c r="X42" s="62">
        <f t="shared" si="2311"/>
        <v>0.877812238785739</v>
      </c>
      <c r="Y42" s="62">
        <f t="shared" si="2312"/>
        <v>8.6252952770847902</v>
      </c>
      <c r="Z42" s="62">
        <f t="shared" si="2313"/>
        <v>8.6252952770847902</v>
      </c>
      <c r="AA42" s="59">
        <f t="shared" si="2314"/>
        <v>683.304042397442</v>
      </c>
      <c r="AB42" s="59">
        <v>16047.1</v>
      </c>
      <c r="AC42" s="59">
        <f t="shared" si="2315"/>
        <v>202.455315512564</v>
      </c>
      <c r="AD42" s="59"/>
      <c r="AE42" s="59"/>
      <c r="AF42" s="59">
        <v>104</v>
      </c>
      <c r="AG42" s="59">
        <f t="shared" si="2301"/>
        <v>104</v>
      </c>
      <c r="AH42" s="59">
        <f t="shared" si="2316"/>
        <v>175.33340482573701</v>
      </c>
      <c r="AI42" s="59">
        <v>1</v>
      </c>
      <c r="AJ42" s="59">
        <f t="shared" si="2302"/>
        <v>1</v>
      </c>
      <c r="AK42" s="59">
        <f t="shared" si="2317"/>
        <v>68.236902902970996</v>
      </c>
      <c r="AL42" s="338"/>
      <c r="AM42" s="59"/>
      <c r="AN42" s="59">
        <v>1000</v>
      </c>
      <c r="AO42" s="62"/>
      <c r="AP42" s="62"/>
      <c r="AQ42" s="59"/>
      <c r="AR42" s="59"/>
      <c r="AS42" s="59"/>
      <c r="AT42" s="189">
        <f>VLOOKUP(B:B,综合进度!B:N,13,0)</f>
        <v>1.2365692515674201e-002</v>
      </c>
      <c r="AU42" s="59">
        <f t="shared" si="2318"/>
        <v>73.872399774787198</v>
      </c>
      <c r="AV42" s="59"/>
      <c r="AW42" s="59"/>
      <c r="AX42" s="59">
        <f t="shared" si="2319"/>
        <v>3731</v>
      </c>
      <c r="AY42" s="59">
        <v>4162</v>
      </c>
      <c r="AZ42" s="59">
        <f t="shared" si="2320"/>
        <v>3895.39669965233</v>
      </c>
      <c r="BA42" s="59">
        <f t="shared" si="2321"/>
        <v>-164.39669965233099</v>
      </c>
      <c r="BB42" s="43">
        <f t="shared" si="2263"/>
        <v>-4.2202813301917101e-002</v>
      </c>
      <c r="BC42" s="50">
        <v>1550</v>
      </c>
      <c r="BD42" s="50">
        <f t="shared" si="2322"/>
        <v>1385.60330034767</v>
      </c>
      <c r="BF42" s="84"/>
      <c r="BG42" s="339"/>
    </row>
    <row r="43" ht="17" customHeight="1">
      <c r="A43" s="46">
        <v>20</v>
      </c>
      <c r="B43" s="82" t="s">
        <v>89</v>
      </c>
      <c r="C43" s="46" t="s">
        <v>93</v>
      </c>
      <c r="D43" s="46">
        <v>2019</v>
      </c>
      <c r="E43" s="46" t="s">
        <v>94</v>
      </c>
      <c r="F43" s="46"/>
      <c r="G43" s="73">
        <f>148787-8738-6075</f>
        <v>133974</v>
      </c>
      <c r="H43" s="59">
        <f t="shared" si="2295"/>
        <v>120576.60000000001</v>
      </c>
      <c r="I43" s="59">
        <f t="shared" si="2296"/>
        <v>0</v>
      </c>
      <c r="J43" s="59">
        <f t="shared" si="2297"/>
        <v>0</v>
      </c>
      <c r="K43" s="59">
        <f t="shared" si="2298"/>
        <v>0</v>
      </c>
      <c r="L43" s="59">
        <f t="shared" si="2299"/>
        <v>120576.60000000001</v>
      </c>
      <c r="M43" s="59">
        <f t="shared" si="2300"/>
        <v>0</v>
      </c>
      <c r="N43" s="59">
        <v>23700</v>
      </c>
      <c r="O43" s="59">
        <v>40191</v>
      </c>
      <c r="P43" s="59">
        <f t="shared" si="2309"/>
        <v>13859.799999999999</v>
      </c>
      <c r="Q43" s="59">
        <v>1678</v>
      </c>
      <c r="R43" s="59"/>
      <c r="S43" s="59">
        <v>12853</v>
      </c>
      <c r="T43" s="59"/>
      <c r="U43" s="59">
        <v>8829</v>
      </c>
      <c r="V43" s="59">
        <f t="shared" si="2310"/>
        <v>2706.5387501178602</v>
      </c>
      <c r="W43" s="59">
        <v>9928.6200000000008</v>
      </c>
      <c r="X43" s="62">
        <f t="shared" si="2311"/>
        <v>0.92462506172321501</v>
      </c>
      <c r="Y43" s="62">
        <f t="shared" si="2312"/>
        <v>14.5789331982146</v>
      </c>
      <c r="Z43" s="62">
        <f t="shared" si="2313"/>
        <v>14.5789331982146</v>
      </c>
      <c r="AA43" s="59">
        <f t="shared" si="2314"/>
        <v>1154.95686445059</v>
      </c>
      <c r="AB43" s="59">
        <v>12006.1</v>
      </c>
      <c r="AC43" s="59">
        <f t="shared" si="2315"/>
        <v>151.47277474281299</v>
      </c>
      <c r="AD43" s="59"/>
      <c r="AE43" s="59"/>
      <c r="AF43" s="59">
        <v>41</v>
      </c>
      <c r="AG43" s="59">
        <f t="shared" si="2301"/>
        <v>41</v>
      </c>
      <c r="AH43" s="59">
        <f t="shared" si="2316"/>
        <v>69.1218230563003</v>
      </c>
      <c r="AI43" s="59">
        <v>0.852272442405555</v>
      </c>
      <c r="AJ43" s="59">
        <f t="shared" si="2302"/>
        <v>0.852272442405555</v>
      </c>
      <c r="AK43" s="59">
        <f t="shared" si="2317"/>
        <v>58.156431899305801</v>
      </c>
      <c r="AL43" s="338"/>
      <c r="AM43" s="59"/>
      <c r="AN43" s="59">
        <v>1000</v>
      </c>
      <c r="AO43" s="62"/>
      <c r="AP43" s="62"/>
      <c r="AQ43" s="59"/>
      <c r="AR43" s="59"/>
      <c r="AS43" s="59"/>
      <c r="AT43" s="189">
        <f>VLOOKUP(B:B,综合进度!B:N,13,0)</f>
        <v>1.7186421982887699e-002</v>
      </c>
      <c r="AU43" s="59">
        <f t="shared" si="2318"/>
        <v>102.671341197332</v>
      </c>
      <c r="AV43" s="59"/>
      <c r="AW43" s="59"/>
      <c r="AX43" s="59">
        <f t="shared" si="2319"/>
        <v>5243</v>
      </c>
      <c r="AY43" s="59">
        <v>4275</v>
      </c>
      <c r="AZ43" s="59">
        <f t="shared" si="2320"/>
        <v>4001.1583111517798</v>
      </c>
      <c r="BA43" s="59">
        <f t="shared" si="2321"/>
        <v>1241.84168884822</v>
      </c>
      <c r="BB43" s="43">
        <f t="shared" si="2263"/>
        <v>0.31037054579596002</v>
      </c>
      <c r="BC43" s="50">
        <v>4330</v>
      </c>
      <c r="BD43" s="50">
        <f t="shared" si="2322"/>
        <v>5571.8416888482197</v>
      </c>
      <c r="BF43" s="84"/>
      <c r="BG43" s="339"/>
    </row>
    <row r="44" ht="17" customHeight="1">
      <c r="A44" s="46">
        <v>21</v>
      </c>
      <c r="B44" s="82" t="s">
        <v>92</v>
      </c>
      <c r="C44" s="46" t="s">
        <v>90</v>
      </c>
      <c r="D44" s="46">
        <v>2018</v>
      </c>
      <c r="E44" s="46" t="s">
        <v>91</v>
      </c>
      <c r="F44" s="46"/>
      <c r="G44" s="73">
        <v>39345</v>
      </c>
      <c r="H44" s="59">
        <f t="shared" si="2295"/>
        <v>31476</v>
      </c>
      <c r="I44" s="59">
        <f t="shared" si="2296"/>
        <v>0</v>
      </c>
      <c r="J44" s="59">
        <f t="shared" si="2297"/>
        <v>0</v>
      </c>
      <c r="K44" s="59">
        <f t="shared" si="2298"/>
        <v>31476</v>
      </c>
      <c r="L44" s="59">
        <f t="shared" si="2299"/>
        <v>0</v>
      </c>
      <c r="M44" s="59">
        <f t="shared" si="2300"/>
        <v>0</v>
      </c>
      <c r="N44" s="59">
        <v>8053</v>
      </c>
      <c r="O44" s="59">
        <v>8207</v>
      </c>
      <c r="P44" s="59">
        <f t="shared" si="2309"/>
        <v>3855.1999999999998</v>
      </c>
      <c r="Q44" s="59">
        <v>0</v>
      </c>
      <c r="R44" s="59">
        <v>4819</v>
      </c>
      <c r="S44" s="59"/>
      <c r="T44" s="59"/>
      <c r="U44" s="59">
        <v>1226</v>
      </c>
      <c r="V44" s="59">
        <f t="shared" si="2310"/>
        <v>750.60305926844899</v>
      </c>
      <c r="W44" s="59">
        <v>9461.5200000000004</v>
      </c>
      <c r="X44" s="62">
        <f t="shared" si="2311"/>
        <v>1</v>
      </c>
      <c r="Y44" s="62">
        <f t="shared" si="2312"/>
        <v>4.7397999999999998</v>
      </c>
      <c r="Z44" s="62">
        <f t="shared" si="2313"/>
        <v>4.7397999999999998</v>
      </c>
      <c r="AA44" s="59">
        <f t="shared" si="2314"/>
        <v>375.49143491468101</v>
      </c>
      <c r="AB44" s="59">
        <v>2023.0699999999999</v>
      </c>
      <c r="AC44" s="59">
        <f t="shared" si="2315"/>
        <v>25.5236943219649</v>
      </c>
      <c r="AD44" s="59"/>
      <c r="AE44" s="59"/>
      <c r="AF44" s="59">
        <v>39</v>
      </c>
      <c r="AG44" s="59">
        <f t="shared" si="2301"/>
        <v>39</v>
      </c>
      <c r="AH44" s="59">
        <f t="shared" si="2316"/>
        <v>65.750026809651501</v>
      </c>
      <c r="AI44" s="59">
        <v>1</v>
      </c>
      <c r="AJ44" s="59">
        <f t="shared" si="2302"/>
        <v>1</v>
      </c>
      <c r="AK44" s="59">
        <f t="shared" si="2317"/>
        <v>68.236902902970996</v>
      </c>
      <c r="AL44" s="338"/>
      <c r="AM44" s="59"/>
      <c r="AN44" s="59">
        <v>2000</v>
      </c>
      <c r="AO44" s="62"/>
      <c r="AP44" s="62"/>
      <c r="AQ44" s="59"/>
      <c r="AR44" s="59"/>
      <c r="AS44" s="59"/>
      <c r="AT44" s="189">
        <f>VLOOKUP(B:B,综合进度!B:N,13,0)</f>
        <v>8.0284540226552206e-003</v>
      </c>
      <c r="AU44" s="59">
        <f t="shared" si="2318"/>
        <v>47.961823762261801</v>
      </c>
      <c r="AV44" s="59"/>
      <c r="AW44" s="59"/>
      <c r="AX44" s="59">
        <f t="shared" si="2319"/>
        <v>3334</v>
      </c>
      <c r="AY44" s="59">
        <v>4067</v>
      </c>
      <c r="AZ44" s="59">
        <f t="shared" si="2320"/>
        <v>3806.4820705156199</v>
      </c>
      <c r="BA44" s="59">
        <f t="shared" si="2321"/>
        <v>-472.48207051562503</v>
      </c>
      <c r="BB44" s="43">
        <f t="shared" si="2263"/>
        <v>-0.12412565244307699</v>
      </c>
      <c r="BC44" s="50">
        <v>1815</v>
      </c>
      <c r="BD44" s="50">
        <f t="shared" si="2322"/>
        <v>1342.5179294843799</v>
      </c>
      <c r="BG44" s="340"/>
    </row>
    <row r="45" s="5" customFormat="1" ht="17" customHeight="1">
      <c r="A45" s="46">
        <v>22</v>
      </c>
      <c r="B45" s="82" t="s">
        <v>95</v>
      </c>
      <c r="C45" s="46" t="s">
        <v>93</v>
      </c>
      <c r="D45" s="46">
        <v>2020</v>
      </c>
      <c r="E45" s="46" t="s">
        <v>94</v>
      </c>
      <c r="F45" s="46"/>
      <c r="G45" s="73">
        <f>440617-118</f>
        <v>440499</v>
      </c>
      <c r="H45" s="59">
        <f t="shared" si="2295"/>
        <v>440499</v>
      </c>
      <c r="I45" s="59">
        <f t="shared" si="2296"/>
        <v>0</v>
      </c>
      <c r="J45" s="59">
        <f t="shared" si="2297"/>
        <v>0</v>
      </c>
      <c r="K45" s="59">
        <f t="shared" si="2298"/>
        <v>0</v>
      </c>
      <c r="L45" s="59">
        <f t="shared" si="2299"/>
        <v>0</v>
      </c>
      <c r="M45" s="59">
        <f t="shared" si="2300"/>
        <v>440499</v>
      </c>
      <c r="N45" s="59">
        <v>69400</v>
      </c>
      <c r="O45" s="59">
        <v>57501</v>
      </c>
      <c r="P45" s="59">
        <f t="shared" si="2309"/>
        <v>44439.599999999999</v>
      </c>
      <c r="Q45" s="59">
        <v>0</v>
      </c>
      <c r="R45" s="59">
        <v>14177</v>
      </c>
      <c r="S45" s="59">
        <v>33098</v>
      </c>
      <c r="T45" s="59"/>
      <c r="U45" s="59">
        <v>11722</v>
      </c>
      <c r="V45" s="59">
        <f t="shared" si="2310"/>
        <v>7846.8923777863201</v>
      </c>
      <c r="W45" s="59">
        <v>10690.68</v>
      </c>
      <c r="X45" s="62">
        <f t="shared" si="2311"/>
        <v>0.80165305259624797</v>
      </c>
      <c r="Y45" s="62">
        <f t="shared" si="2312"/>
        <v>40.876208986577403</v>
      </c>
      <c r="Z45" s="62">
        <f t="shared" si="2313"/>
        <v>40.876208986577403</v>
      </c>
      <c r="AA45" s="59">
        <f t="shared" si="2314"/>
        <v>3238.2519022411002</v>
      </c>
      <c r="AB45" s="59">
        <v>63245.419000000002</v>
      </c>
      <c r="AC45" s="59">
        <f t="shared" si="2315"/>
        <v>797.92431394889604</v>
      </c>
      <c r="AD45" s="59"/>
      <c r="AE45" s="59"/>
      <c r="AF45" s="59">
        <v>153</v>
      </c>
      <c r="AG45" s="59">
        <f t="shared" si="2301"/>
        <v>153</v>
      </c>
      <c r="AH45" s="59">
        <f t="shared" si="2316"/>
        <v>257.94241286863303</v>
      </c>
      <c r="AI45" s="59">
        <v>0.82168925964546402</v>
      </c>
      <c r="AJ45" s="59">
        <f t="shared" si="2302"/>
        <v>0.82168925964546402</v>
      </c>
      <c r="AK45" s="59">
        <f t="shared" si="2317"/>
        <v>56.0695302268416</v>
      </c>
      <c r="AL45" s="338"/>
      <c r="AM45" s="59"/>
      <c r="AN45" s="59">
        <v>1000</v>
      </c>
      <c r="AO45" s="62"/>
      <c r="AP45" s="62"/>
      <c r="AQ45" s="59"/>
      <c r="AR45" s="59"/>
      <c r="AS45" s="59"/>
      <c r="AT45" s="189">
        <f>VLOOKUP(B:B,综合进度!B:N,13,0)</f>
        <v>5.5076829211688001e-002</v>
      </c>
      <c r="AU45" s="59">
        <f t="shared" si="2318"/>
        <v>329.02787617403999</v>
      </c>
      <c r="AV45" s="59"/>
      <c r="AW45" s="59"/>
      <c r="AX45" s="59">
        <f t="shared" si="2319"/>
        <v>13526</v>
      </c>
      <c r="AY45" s="59">
        <v>27053</v>
      </c>
      <c r="AZ45" s="59">
        <f t="shared" si="2320"/>
        <v>25320.078547740199</v>
      </c>
      <c r="BA45" s="59">
        <f t="shared" si="2321"/>
        <v>-11794.078547740201</v>
      </c>
      <c r="BB45" s="43">
        <f t="shared" si="2263"/>
        <v>-0.46579944550736002</v>
      </c>
      <c r="BC45" s="50">
        <v>1095</v>
      </c>
      <c r="BD45" s="50">
        <f t="shared" si="2322"/>
        <v>-10699.078547740201</v>
      </c>
      <c r="BE45" s="5">
        <f>ROUND(-BD45,0)</f>
        <v>10699</v>
      </c>
      <c r="BF45" s="341">
        <f>BE45*29750/39054</f>
        <v>8150.1318686946297</v>
      </c>
      <c r="BG45" s="339"/>
    </row>
    <row r="46" ht="17" customHeight="1">
      <c r="A46" s="46">
        <v>23</v>
      </c>
      <c r="B46" s="82" t="s">
        <v>96</v>
      </c>
      <c r="C46" s="46" t="s">
        <v>93</v>
      </c>
      <c r="D46" s="46">
        <v>2019</v>
      </c>
      <c r="E46" s="46" t="s">
        <v>94</v>
      </c>
      <c r="F46" s="46"/>
      <c r="G46" s="73">
        <f>210338-4255-1915</f>
        <v>204168</v>
      </c>
      <c r="H46" s="59">
        <f t="shared" si="2295"/>
        <v>183751.20000000001</v>
      </c>
      <c r="I46" s="59">
        <f t="shared" si="2296"/>
        <v>0</v>
      </c>
      <c r="J46" s="59">
        <f t="shared" si="2297"/>
        <v>0</v>
      </c>
      <c r="K46" s="59">
        <f t="shared" si="2298"/>
        <v>0</v>
      </c>
      <c r="L46" s="59">
        <f t="shared" si="2299"/>
        <v>183751.20000000001</v>
      </c>
      <c r="M46" s="59">
        <f t="shared" si="2300"/>
        <v>0</v>
      </c>
      <c r="N46" s="59">
        <v>32031</v>
      </c>
      <c r="O46" s="59">
        <v>44470</v>
      </c>
      <c r="P46" s="59">
        <f t="shared" si="2309"/>
        <v>26691.799999999999</v>
      </c>
      <c r="Q46" s="59">
        <v>3443</v>
      </c>
      <c r="R46" s="59"/>
      <c r="S46" s="59">
        <v>24626</v>
      </c>
      <c r="T46" s="59"/>
      <c r="U46" s="59">
        <v>7317</v>
      </c>
      <c r="V46" s="59">
        <f t="shared" si="2310"/>
        <v>3738.0339007635898</v>
      </c>
      <c r="W46" s="59">
        <v>10239.68</v>
      </c>
      <c r="X46" s="62">
        <f t="shared" si="2311"/>
        <v>0.87442996795233796</v>
      </c>
      <c r="Y46" s="62">
        <f t="shared" si="2312"/>
        <v>20.6539484000374</v>
      </c>
      <c r="Z46" s="62">
        <f t="shared" si="2313"/>
        <v>20.6539484000374</v>
      </c>
      <c r="AA46" s="59">
        <f t="shared" si="2314"/>
        <v>1636.2253093767299</v>
      </c>
      <c r="AB46" s="59">
        <v>25700.77</v>
      </c>
      <c r="AC46" s="59">
        <f t="shared" si="2315"/>
        <v>324.249085458796</v>
      </c>
      <c r="AD46" s="59"/>
      <c r="AE46" s="59"/>
      <c r="AF46" s="59">
        <v>14</v>
      </c>
      <c r="AG46" s="59">
        <f t="shared" si="2301"/>
        <v>14</v>
      </c>
      <c r="AH46" s="59">
        <f t="shared" si="2316"/>
        <v>23.6025737265416</v>
      </c>
      <c r="AI46" s="59">
        <v>0.84999728058884305</v>
      </c>
      <c r="AJ46" s="59">
        <f t="shared" si="2302"/>
        <v>0.84999728058884305</v>
      </c>
      <c r="AK46" s="59">
        <f t="shared" si="2317"/>
        <v>58.001181903330199</v>
      </c>
      <c r="AL46" s="338"/>
      <c r="AM46" s="59"/>
      <c r="AN46" s="59">
        <v>1000</v>
      </c>
      <c r="AO46" s="62"/>
      <c r="AP46" s="62"/>
      <c r="AQ46" s="59"/>
      <c r="AR46" s="59"/>
      <c r="AS46" s="59"/>
      <c r="AT46" s="189">
        <f>VLOOKUP(B:B,综合进度!B:N,13,0)</f>
        <v>1.9972754170631199e-002</v>
      </c>
      <c r="AU46" s="59">
        <f t="shared" si="2318"/>
        <v>119.316833960267</v>
      </c>
      <c r="AV46" s="59"/>
      <c r="AW46" s="59"/>
      <c r="AX46" s="59">
        <f t="shared" si="2319"/>
        <v>6899</v>
      </c>
      <c r="AY46" s="59">
        <v>5515</v>
      </c>
      <c r="AZ46" s="59">
        <f t="shared" si="2320"/>
        <v>5161.7282072519502</v>
      </c>
      <c r="BA46" s="59">
        <f t="shared" si="2321"/>
        <v>1737.2717927480501</v>
      </c>
      <c r="BB46" s="43">
        <f t="shared" si="2263"/>
        <v>0.33656785537589501</v>
      </c>
      <c r="BC46" s="50">
        <v>1869</v>
      </c>
      <c r="BD46" s="50">
        <f t="shared" si="2322"/>
        <v>3606.2717927480498</v>
      </c>
      <c r="BF46" s="341"/>
      <c r="BG46" s="339"/>
    </row>
    <row r="47" ht="17" customHeight="1">
      <c r="A47" s="46">
        <v>24</v>
      </c>
      <c r="B47" s="82" t="s">
        <v>97</v>
      </c>
      <c r="C47" s="46" t="s">
        <v>90</v>
      </c>
      <c r="D47" s="46">
        <v>2018</v>
      </c>
      <c r="E47" s="46" t="s">
        <v>91</v>
      </c>
      <c r="F47" s="46"/>
      <c r="G47" s="73">
        <v>56739</v>
      </c>
      <c r="H47" s="59">
        <f t="shared" si="2295"/>
        <v>45391.199999999997</v>
      </c>
      <c r="I47" s="59">
        <f t="shared" si="2296"/>
        <v>0</v>
      </c>
      <c r="J47" s="59">
        <f t="shared" si="2297"/>
        <v>0</v>
      </c>
      <c r="K47" s="59">
        <f t="shared" si="2298"/>
        <v>45391.199999999997</v>
      </c>
      <c r="L47" s="59">
        <f t="shared" si="2299"/>
        <v>0</v>
      </c>
      <c r="M47" s="59">
        <f t="shared" si="2300"/>
        <v>0</v>
      </c>
      <c r="N47" s="59">
        <v>9593</v>
      </c>
      <c r="O47" s="59">
        <v>16255</v>
      </c>
      <c r="P47" s="59">
        <f t="shared" si="2309"/>
        <v>4534.1999999999998</v>
      </c>
      <c r="Q47" s="59">
        <v>2397</v>
      </c>
      <c r="R47" s="59">
        <v>3870</v>
      </c>
      <c r="S47" s="59"/>
      <c r="T47" s="59"/>
      <c r="U47" s="59">
        <v>1345</v>
      </c>
      <c r="V47" s="59">
        <f t="shared" si="2310"/>
        <v>936.46647648985902</v>
      </c>
      <c r="W47" s="59">
        <v>11353.58</v>
      </c>
      <c r="X47" s="62">
        <f t="shared" si="2311"/>
        <v>0.69468228277462396</v>
      </c>
      <c r="Y47" s="62">
        <f t="shared" si="2312"/>
        <v>4.60796651810064</v>
      </c>
      <c r="Z47" s="62">
        <f t="shared" si="2313"/>
        <v>4.60796651810064</v>
      </c>
      <c r="AA47" s="59">
        <f t="shared" si="2314"/>
        <v>365.04746190143402</v>
      </c>
      <c r="AB47" s="59">
        <v>2429.509732</v>
      </c>
      <c r="AC47" s="59">
        <f t="shared" si="2315"/>
        <v>30.651467201731499</v>
      </c>
      <c r="AD47" s="59"/>
      <c r="AE47" s="59"/>
      <c r="AF47" s="59">
        <v>89</v>
      </c>
      <c r="AG47" s="59">
        <f t="shared" si="2301"/>
        <v>89</v>
      </c>
      <c r="AH47" s="59">
        <f t="shared" si="2316"/>
        <v>150.04493297587101</v>
      </c>
      <c r="AI47" s="59">
        <v>0.79054673721340396</v>
      </c>
      <c r="AJ47" s="59">
        <f t="shared" si="2302"/>
        <v>0.79054673721340396</v>
      </c>
      <c r="AK47" s="59">
        <f t="shared" si="2317"/>
        <v>53.9444609474915</v>
      </c>
      <c r="AL47" s="338"/>
      <c r="AM47" s="59"/>
      <c r="AN47" s="59">
        <v>2000</v>
      </c>
      <c r="AO47" s="62"/>
      <c r="AP47" s="62"/>
      <c r="AQ47" s="59"/>
      <c r="AR47" s="59"/>
      <c r="AS47" s="59"/>
      <c r="AT47" s="189">
        <f>VLOOKUP(B:B,综合进度!B:N,13,0)</f>
        <v>6.2381816997020296e-003</v>
      </c>
      <c r="AU47" s="59">
        <f t="shared" si="2318"/>
        <v>37.266772710385901</v>
      </c>
      <c r="AV47" s="59"/>
      <c r="AW47" s="59"/>
      <c r="AX47" s="59">
        <f t="shared" si="2319"/>
        <v>3573</v>
      </c>
      <c r="AY47" s="59">
        <v>1788</v>
      </c>
      <c r="AZ47" s="59">
        <f t="shared" si="2320"/>
        <v>1673.4669146992701</v>
      </c>
      <c r="BA47" s="59">
        <f t="shared" si="2321"/>
        <v>1899.5330853007299</v>
      </c>
      <c r="BB47" s="43">
        <f t="shared" si="2263"/>
        <v>1.13508852109101</v>
      </c>
      <c r="BC47" s="50">
        <v>-1048</v>
      </c>
      <c r="BD47" s="50">
        <f t="shared" si="2322"/>
        <v>851.53308530072798</v>
      </c>
      <c r="BG47" s="340"/>
    </row>
    <row r="48" ht="17" customHeight="1">
      <c r="A48" s="46">
        <v>25</v>
      </c>
      <c r="B48" s="82" t="s">
        <v>98</v>
      </c>
      <c r="C48" s="46" t="s">
        <v>78</v>
      </c>
      <c r="D48" s="46"/>
      <c r="E48" s="46"/>
      <c r="F48" s="46"/>
      <c r="G48" s="73">
        <v>11311</v>
      </c>
      <c r="H48" s="59">
        <f t="shared" si="2295"/>
        <v>6786.6000000000004</v>
      </c>
      <c r="I48" s="59">
        <f t="shared" si="2296"/>
        <v>6786.6000000000004</v>
      </c>
      <c r="J48" s="59">
        <f t="shared" si="2297"/>
        <v>0</v>
      </c>
      <c r="K48" s="59">
        <f t="shared" si="2298"/>
        <v>0</v>
      </c>
      <c r="L48" s="59">
        <f t="shared" si="2299"/>
        <v>0</v>
      </c>
      <c r="M48" s="59">
        <f t="shared" si="2300"/>
        <v>0</v>
      </c>
      <c r="N48" s="59">
        <v>392</v>
      </c>
      <c r="O48" s="59">
        <v>1691</v>
      </c>
      <c r="P48" s="59">
        <f t="shared" si="2309"/>
        <v>0</v>
      </c>
      <c r="Q48" s="59"/>
      <c r="R48" s="59"/>
      <c r="S48" s="59"/>
      <c r="T48" s="59"/>
      <c r="U48" s="59">
        <v>0</v>
      </c>
      <c r="V48" s="59">
        <f t="shared" si="2310"/>
        <v>62.1386458108447</v>
      </c>
      <c r="W48" s="59">
        <v>10404.059999999999</v>
      </c>
      <c r="X48" s="62">
        <f t="shared" si="2311"/>
        <v>0.84790431529993504</v>
      </c>
      <c r="Y48" s="62">
        <f t="shared" si="2312"/>
        <v>0.99230242019551396</v>
      </c>
      <c r="Z48" s="62">
        <f t="shared" ref="Z48:Z54" si="2323">Y48*0.2</f>
        <v>0.19846048403910299</v>
      </c>
      <c r="AA48" s="59">
        <f t="shared" si="2314"/>
        <v>15.722227082515101</v>
      </c>
      <c r="AB48" s="59">
        <v>776.38</v>
      </c>
      <c r="AC48" s="59">
        <f t="shared" si="2315"/>
        <v>9.79505691730248</v>
      </c>
      <c r="AD48" s="59"/>
      <c r="AE48" s="59"/>
      <c r="AF48" s="59">
        <v>17</v>
      </c>
      <c r="AG48" s="59">
        <f t="shared" ref="AG48:AG54" si="2324">AF48*0.5</f>
        <v>8.5</v>
      </c>
      <c r="AH48" s="59">
        <f t="shared" si="2316"/>
        <v>14.330134048257399</v>
      </c>
      <c r="AI48" s="59">
        <v>1</v>
      </c>
      <c r="AJ48" s="59">
        <f t="shared" ref="AJ48:AJ54" si="2325">AI48*0.5</f>
        <v>0.5</v>
      </c>
      <c r="AK48" s="59">
        <f t="shared" si="2317"/>
        <v>34.118451451485498</v>
      </c>
      <c r="AL48" s="338"/>
      <c r="AM48" s="59"/>
      <c r="AN48" s="59"/>
      <c r="AO48" s="62"/>
      <c r="AP48" s="62"/>
      <c r="AQ48" s="59"/>
      <c r="AR48" s="59"/>
      <c r="AS48" s="59"/>
      <c r="AT48" s="189">
        <f>VLOOKUP(B:B,综合进度!B:N,13,0)</f>
        <v>3.0465053679476599e-003</v>
      </c>
      <c r="AU48" s="59">
        <f t="shared" si="2318"/>
        <v>18.199762138012002</v>
      </c>
      <c r="AV48" s="59"/>
      <c r="AW48" s="59"/>
      <c r="AX48" s="59">
        <f t="shared" si="2319"/>
        <v>154</v>
      </c>
      <c r="AY48" s="59">
        <v>162</v>
      </c>
      <c r="AZ48" s="59">
        <f t="shared" si="2320"/>
        <v>151.62284126469899</v>
      </c>
      <c r="BA48" s="59">
        <f t="shared" si="2321"/>
        <v>2.3771587353008998</v>
      </c>
      <c r="BB48" s="43">
        <f t="shared" si="2263"/>
        <v>1.56781044034844e-002</v>
      </c>
      <c r="BC48" s="50">
        <v>533</v>
      </c>
      <c r="BD48" s="50">
        <f t="shared" si="2322"/>
        <v>535.37715873530101</v>
      </c>
      <c r="BG48" s="340"/>
    </row>
    <row r="49" s="5" customFormat="1" ht="17" customHeight="1">
      <c r="A49" s="65"/>
      <c r="B49" s="66" t="s">
        <v>99</v>
      </c>
      <c r="C49" s="67">
        <v>1</v>
      </c>
      <c r="D49" s="67"/>
      <c r="E49" s="67"/>
      <c r="F49" s="68"/>
      <c r="G49" s="69">
        <f t="shared" ref="G49:P49" si="2326">G50+G51</f>
        <v>740646</v>
      </c>
      <c r="H49" s="69">
        <f t="shared" si="2326"/>
        <v>651099.40000000002</v>
      </c>
      <c r="I49" s="69">
        <f t="shared" si="2326"/>
        <v>47099.400000000001</v>
      </c>
      <c r="J49" s="69">
        <f t="shared" si="2326"/>
        <v>25648</v>
      </c>
      <c r="K49" s="69">
        <f t="shared" si="2326"/>
        <v>128608</v>
      </c>
      <c r="L49" s="69">
        <f t="shared" si="2326"/>
        <v>135027</v>
      </c>
      <c r="M49" s="69">
        <f t="shared" si="2326"/>
        <v>314717</v>
      </c>
      <c r="N49" s="69">
        <f t="shared" si="2326"/>
        <v>94118</v>
      </c>
      <c r="O49" s="69">
        <f t="shared" si="2326"/>
        <v>156823</v>
      </c>
      <c r="P49" s="69">
        <f t="shared" si="2326"/>
        <v>85243.399999999994</v>
      </c>
      <c r="Q49" s="59">
        <v>16634</v>
      </c>
      <c r="R49" s="69">
        <f t="shared" ref="R49:V49" si="2327">R50+R51</f>
        <v>0</v>
      </c>
      <c r="S49" s="69">
        <f t="shared" si="2327"/>
        <v>75263</v>
      </c>
      <c r="T49" s="69">
        <f t="shared" si="2327"/>
        <v>0</v>
      </c>
      <c r="U49" s="69">
        <f t="shared" si="2327"/>
        <v>13880</v>
      </c>
      <c r="V49" s="69">
        <f t="shared" si="2327"/>
        <v>11451.9396890649</v>
      </c>
      <c r="W49" s="69"/>
      <c r="X49" s="69">
        <f t="shared" ref="X49:AC49" si="2328">X50+X51</f>
        <v>6.0643067151630996</v>
      </c>
      <c r="Y49" s="69">
        <f t="shared" si="2328"/>
        <v>63.754647544142202</v>
      </c>
      <c r="Z49" s="69">
        <f t="shared" si="2328"/>
        <v>55.004728434554004</v>
      </c>
      <c r="AA49" s="69">
        <f t="shared" si="2328"/>
        <v>4357.5265637754901</v>
      </c>
      <c r="AB49" s="69">
        <f t="shared" si="2328"/>
        <v>48597.519</v>
      </c>
      <c r="AC49" s="69">
        <f t="shared" si="2328"/>
        <v>613.12175048904999</v>
      </c>
      <c r="AD49" s="69"/>
      <c r="AE49" s="69"/>
      <c r="AF49" s="69">
        <f t="shared" ref="AF49:AK49" si="2329">AF50+AF51</f>
        <v>411</v>
      </c>
      <c r="AG49" s="69">
        <f t="shared" si="2329"/>
        <v>331</v>
      </c>
      <c r="AH49" s="69">
        <f t="shared" si="2329"/>
        <v>558.03227882037504</v>
      </c>
      <c r="AI49" s="69">
        <f t="shared" si="2329"/>
        <v>9</v>
      </c>
      <c r="AJ49" s="69">
        <f t="shared" si="2329"/>
        <v>7</v>
      </c>
      <c r="AK49" s="69">
        <f t="shared" si="2329"/>
        <v>477.65832032079697</v>
      </c>
      <c r="AL49" s="69"/>
      <c r="AM49" s="69"/>
      <c r="AN49" s="69">
        <f t="shared" ref="AN49:AU49" si="2330">AN50+AN51</f>
        <v>4000</v>
      </c>
      <c r="AO49" s="71"/>
      <c r="AP49" s="69"/>
      <c r="AQ49" s="69">
        <f t="shared" si="2330"/>
        <v>0</v>
      </c>
      <c r="AR49" s="69"/>
      <c r="AS49" s="69">
        <f t="shared" si="2330"/>
        <v>0</v>
      </c>
      <c r="AT49" s="403">
        <f t="shared" si="2330"/>
        <v>8.9825785092111199e-002</v>
      </c>
      <c r="AU49" s="69">
        <f t="shared" si="2330"/>
        <v>536.61744362457</v>
      </c>
      <c r="AV49" s="69"/>
      <c r="AW49" s="71"/>
      <c r="AX49" s="69">
        <f t="shared" ref="AX49:BA49" si="2331">AX50+AX51</f>
        <v>21995</v>
      </c>
      <c r="AY49" s="69">
        <v>24641</v>
      </c>
      <c r="AZ49" s="69">
        <f t="shared" si="2331"/>
        <v>23062.582911132398</v>
      </c>
      <c r="BA49" s="69">
        <f t="shared" si="2331"/>
        <v>-1067.5829111324099</v>
      </c>
      <c r="BB49" s="336">
        <f t="shared" si="2263"/>
        <v>-4.6290691517344502e-002</v>
      </c>
      <c r="BC49" s="404">
        <v>8567</v>
      </c>
      <c r="BD49" s="69">
        <f>BD50+BD51</f>
        <v>6984.4170888675899</v>
      </c>
      <c r="BG49" s="340"/>
    </row>
    <row r="50" s="5" customFormat="1" ht="17" customHeight="1">
      <c r="A50" s="44"/>
      <c r="B50" s="72" t="s">
        <v>100</v>
      </c>
      <c r="C50" s="46">
        <v>2</v>
      </c>
      <c r="D50" s="46"/>
      <c r="E50" s="46"/>
      <c r="F50" s="46"/>
      <c r="G50" s="73"/>
      <c r="H50" s="59">
        <f t="shared" ref="H50:H60" si="2332">SUM(I50:M50)</f>
        <v>0</v>
      </c>
      <c r="I50" s="59">
        <f t="shared" ref="I50:I60" si="2333">IF(D50="",G50*0.6,0)</f>
        <v>0</v>
      </c>
      <c r="J50" s="59">
        <f t="shared" ref="J50:J60" si="2334">IF(D50=2017,G50*0.7,0)</f>
        <v>0</v>
      </c>
      <c r="K50" s="59">
        <f t="shared" ref="K50:K60" si="2335">IF(D50=2018,G50*0.8,0)</f>
        <v>0</v>
      </c>
      <c r="L50" s="59">
        <f t="shared" ref="L50:L60" si="2336">IF(D50=2019,G50*0.9,0)</f>
        <v>0</v>
      </c>
      <c r="M50" s="59">
        <f t="shared" ref="M50:M60" si="2337">IF(D50=2020,G50*1,0)</f>
        <v>0</v>
      </c>
      <c r="N50" s="59"/>
      <c r="O50" s="59"/>
      <c r="P50" s="59">
        <f>L50*0.4+M50*0.6+N50*0.8+O50*1</f>
        <v>0</v>
      </c>
      <c r="Q50" s="59"/>
      <c r="R50" s="59"/>
      <c r="S50" s="59"/>
      <c r="T50" s="59"/>
      <c r="U50" s="59"/>
      <c r="V50" s="59">
        <f>H50/$H$9*134866+N50/$N$9*202299+P50/$P$9*100000+U50/$U$9*34867</f>
        <v>0</v>
      </c>
      <c r="W50" s="59"/>
      <c r="X50" s="62"/>
      <c r="Y50" s="62"/>
      <c r="Z50" s="62"/>
      <c r="AA50" s="59"/>
      <c r="AB50" s="59"/>
      <c r="AC50" s="59"/>
      <c r="AD50" s="59"/>
      <c r="AE50" s="59"/>
      <c r="AF50" s="59"/>
      <c r="AG50" s="59">
        <f>AF50</f>
        <v>0</v>
      </c>
      <c r="AH50" s="59">
        <f>AG50/$AG$9*40459.89</f>
        <v>0</v>
      </c>
      <c r="AI50" s="59"/>
      <c r="AJ50" s="59">
        <f>AI50</f>
        <v>0</v>
      </c>
      <c r="AK50" s="59">
        <f>AJ50/$AJ$9*40459.89</f>
        <v>0</v>
      </c>
      <c r="AL50" s="59"/>
      <c r="AM50" s="59"/>
      <c r="AN50" s="59"/>
      <c r="AO50" s="62"/>
      <c r="AP50" s="62"/>
      <c r="AQ50" s="59"/>
      <c r="AR50" s="59"/>
      <c r="AS50" s="59"/>
      <c r="AT50" s="189"/>
      <c r="AU50" s="59"/>
      <c r="AV50" s="59"/>
      <c r="AW50" s="59"/>
      <c r="AX50" s="59">
        <f>V50+AA50+AC50+AE50+AH50+AK50+AM50+AN50+AQ50+AS50+AU50+AW50</f>
        <v>0</v>
      </c>
      <c r="AY50" s="73"/>
      <c r="AZ50" s="170"/>
      <c r="BA50" s="50"/>
      <c r="BB50" s="43"/>
      <c r="BC50" s="50">
        <v>515</v>
      </c>
      <c r="BD50" s="50"/>
      <c r="BG50" s="340"/>
    </row>
    <row r="51" s="5" customFormat="1" ht="17" customHeight="1">
      <c r="A51" s="75"/>
      <c r="B51" s="76" t="s">
        <v>76</v>
      </c>
      <c r="C51" s="77">
        <v>3</v>
      </c>
      <c r="D51" s="77"/>
      <c r="E51" s="77"/>
      <c r="F51" s="78"/>
      <c r="G51" s="79">
        <f t="shared" ref="G51:P51" si="2338">SUM(G52:G60)</f>
        <v>740646</v>
      </c>
      <c r="H51" s="79">
        <f t="shared" si="2338"/>
        <v>651099.40000000002</v>
      </c>
      <c r="I51" s="79">
        <f t="shared" si="2338"/>
        <v>47099.400000000001</v>
      </c>
      <c r="J51" s="79">
        <f t="shared" si="2338"/>
        <v>25648</v>
      </c>
      <c r="K51" s="79">
        <f t="shared" si="2338"/>
        <v>128608</v>
      </c>
      <c r="L51" s="79">
        <f t="shared" si="2338"/>
        <v>135027</v>
      </c>
      <c r="M51" s="79">
        <f t="shared" si="2338"/>
        <v>314717</v>
      </c>
      <c r="N51" s="79">
        <f t="shared" si="2338"/>
        <v>94118</v>
      </c>
      <c r="O51" s="79">
        <f t="shared" si="2338"/>
        <v>156823</v>
      </c>
      <c r="P51" s="79">
        <f t="shared" si="2338"/>
        <v>85243.399999999994</v>
      </c>
      <c r="Q51" s="59">
        <v>16634</v>
      </c>
      <c r="R51" s="79">
        <f t="shared" ref="R51:V51" si="2339">SUM(R52:R60)</f>
        <v>0</v>
      </c>
      <c r="S51" s="79">
        <f t="shared" si="2339"/>
        <v>75263</v>
      </c>
      <c r="T51" s="79">
        <f t="shared" si="2339"/>
        <v>0</v>
      </c>
      <c r="U51" s="79">
        <f t="shared" si="2339"/>
        <v>13880</v>
      </c>
      <c r="V51" s="79">
        <f t="shared" si="2339"/>
        <v>11451.9396890649</v>
      </c>
      <c r="W51" s="79"/>
      <c r="X51" s="79">
        <f t="shared" ref="X51:AC51" si="2340">SUM(X52:X60)</f>
        <v>6.0643067151630996</v>
      </c>
      <c r="Y51" s="79">
        <f t="shared" si="2340"/>
        <v>63.754647544142202</v>
      </c>
      <c r="Z51" s="79">
        <f t="shared" si="2340"/>
        <v>55.004728434554004</v>
      </c>
      <c r="AA51" s="79">
        <f t="shared" si="2340"/>
        <v>4357.5265637754901</v>
      </c>
      <c r="AB51" s="79">
        <f t="shared" si="2340"/>
        <v>48597.519</v>
      </c>
      <c r="AC51" s="79">
        <f t="shared" si="2340"/>
        <v>613.12175048904999</v>
      </c>
      <c r="AD51" s="79"/>
      <c r="AE51" s="79"/>
      <c r="AF51" s="79">
        <f t="shared" ref="AF51:AK51" si="2341">SUM(AF52:AF60)</f>
        <v>411</v>
      </c>
      <c r="AG51" s="79">
        <f t="shared" si="2341"/>
        <v>331</v>
      </c>
      <c r="AH51" s="79">
        <f t="shared" si="2341"/>
        <v>558.03227882037504</v>
      </c>
      <c r="AI51" s="79">
        <f t="shared" si="2341"/>
        <v>9</v>
      </c>
      <c r="AJ51" s="79">
        <f t="shared" si="2341"/>
        <v>7</v>
      </c>
      <c r="AK51" s="79">
        <f t="shared" si="2341"/>
        <v>477.65832032079697</v>
      </c>
      <c r="AL51" s="79"/>
      <c r="AM51" s="79"/>
      <c r="AN51" s="79">
        <f t="shared" ref="AN51:AU51" si="2342">SUM(AN52:AN60)</f>
        <v>4000</v>
      </c>
      <c r="AO51" s="81"/>
      <c r="AP51" s="79"/>
      <c r="AQ51" s="79">
        <f t="shared" si="2342"/>
        <v>0</v>
      </c>
      <c r="AR51" s="79"/>
      <c r="AS51" s="79">
        <f t="shared" si="2342"/>
        <v>0</v>
      </c>
      <c r="AT51" s="405">
        <f t="shared" si="2342"/>
        <v>8.9825785092111199e-002</v>
      </c>
      <c r="AU51" s="79">
        <f t="shared" si="2342"/>
        <v>536.61744362457</v>
      </c>
      <c r="AV51" s="79"/>
      <c r="AW51" s="81"/>
      <c r="AX51" s="79">
        <f t="shared" ref="AX51:BA51" si="2343">SUM(AX52:AX60)</f>
        <v>21995</v>
      </c>
      <c r="AY51" s="79">
        <v>24641</v>
      </c>
      <c r="AZ51" s="79">
        <f t="shared" si="2343"/>
        <v>23062.582911132398</v>
      </c>
      <c r="BA51" s="79">
        <f t="shared" si="2343"/>
        <v>-1067.5829111324099</v>
      </c>
      <c r="BB51" s="337">
        <f t="shared" si="2263"/>
        <v>-4.6290691517344502e-002</v>
      </c>
      <c r="BC51" s="406">
        <v>8052</v>
      </c>
      <c r="BD51" s="79">
        <f>SUM(BD52:BD60)</f>
        <v>6984.4170888675899</v>
      </c>
      <c r="BG51" s="340"/>
    </row>
    <row r="52" ht="17" customHeight="1">
      <c r="A52" s="46">
        <v>26</v>
      </c>
      <c r="B52" s="82" t="s">
        <v>101</v>
      </c>
      <c r="C52" s="46" t="s">
        <v>78</v>
      </c>
      <c r="D52" s="46"/>
      <c r="E52" s="46"/>
      <c r="F52" s="46"/>
      <c r="G52" s="73">
        <v>11313</v>
      </c>
      <c r="H52" s="59">
        <f t="shared" si="2332"/>
        <v>6787.8000000000002</v>
      </c>
      <c r="I52" s="59">
        <f t="shared" si="2333"/>
        <v>6787.8000000000002</v>
      </c>
      <c r="J52" s="59">
        <f t="shared" si="2334"/>
        <v>0</v>
      </c>
      <c r="K52" s="59">
        <f t="shared" si="2335"/>
        <v>0</v>
      </c>
      <c r="L52" s="59">
        <f t="shared" si="2336"/>
        <v>0</v>
      </c>
      <c r="M52" s="59">
        <f t="shared" si="2337"/>
        <v>0</v>
      </c>
      <c r="N52" s="59">
        <v>1073</v>
      </c>
      <c r="O52" s="59">
        <v>618</v>
      </c>
      <c r="P52" s="59">
        <f t="shared" ref="P52:P60" si="2344">Q52*0.6+R52*0.8+S52*1+T52*1.25</f>
        <v>0</v>
      </c>
      <c r="Q52" s="59"/>
      <c r="R52" s="59"/>
      <c r="S52" s="59"/>
      <c r="T52" s="59"/>
      <c r="U52" s="59">
        <v>253</v>
      </c>
      <c r="V52" s="59">
        <f t="shared" ref="V52:V60" si="2345">H52/$H$9*298699*0.12+N52/$N$9*298699*0.15+P52/$P$9*298699*0.035+U52/$U$9*298699*0.025</f>
        <v>108.977991957868</v>
      </c>
      <c r="W52" s="59">
        <v>12050.25</v>
      </c>
      <c r="X52" s="62">
        <f t="shared" ref="X52:X60" si="2346">($W$64-W52)/($W$64-$W$44)</f>
        <v>0.58226211953487295</v>
      </c>
      <c r="Y52" s="62">
        <f t="shared" ref="Y52:Y60" si="2347">(G52+N52)*X52/10000</f>
        <v>0.72118986125589402</v>
      </c>
      <c r="Z52" s="62">
        <f t="shared" si="2323"/>
        <v>0.14423797225117899</v>
      </c>
      <c r="AA52" s="59">
        <f t="shared" ref="AA52:AA60" si="2348">Z52/$Z$9*298699*0.12</f>
        <v>11.4266684606479</v>
      </c>
      <c r="AB52" s="59">
        <v>334.39999999999998</v>
      </c>
      <c r="AC52" s="59">
        <f t="shared" ref="AC52:AC60" si="2349">(AB52/$AB$9*298699*0.03)</f>
        <v>4.21889671700192</v>
      </c>
      <c r="AD52" s="59"/>
      <c r="AE52" s="59"/>
      <c r="AF52" s="59">
        <v>69</v>
      </c>
      <c r="AG52" s="59">
        <f t="shared" si="2324"/>
        <v>34.5</v>
      </c>
      <c r="AH52" s="59">
        <f t="shared" ref="AH52:AH60" si="2350">AG52/$AG$9*298699*0.02</f>
        <v>58.1634852546917</v>
      </c>
      <c r="AI52" s="59">
        <v>1</v>
      </c>
      <c r="AJ52" s="59">
        <f t="shared" si="2325"/>
        <v>0.5</v>
      </c>
      <c r="AK52" s="59">
        <f t="shared" ref="AK52:AK60" si="2351">AJ52/$AJ$9*298699*0.02</f>
        <v>34.118451451485498</v>
      </c>
      <c r="AL52" s="338"/>
      <c r="AM52" s="59"/>
      <c r="AN52" s="59"/>
      <c r="AO52" s="62"/>
      <c r="AP52" s="62"/>
      <c r="AQ52" s="59"/>
      <c r="AR52" s="59"/>
      <c r="AS52" s="59"/>
      <c r="AT52" s="189">
        <f>VLOOKUP(B:B,综合进度!B:N,13,0)</f>
        <v>3.1233780740787202e-003</v>
      </c>
      <c r="AU52" s="59">
        <f t="shared" ref="AU52:AU60" si="2352">AT52/$AT$9*298699*0.02</f>
        <v>18.6589981469848</v>
      </c>
      <c r="AV52" s="59"/>
      <c r="AW52" s="59"/>
      <c r="AX52" s="59">
        <f t="shared" ref="AX52:AX60" si="2353">ROUND(V52+AA52+AC52+AN52+AQ52+AS52+AU52+AW52+AH52+AK52,0)</f>
        <v>236</v>
      </c>
      <c r="AY52" s="59">
        <v>255</v>
      </c>
      <c r="AZ52" s="59">
        <f t="shared" ref="AZ52:AZ60" si="2354">AY52/$AY$9*280243</f>
        <v>238.66558347221201</v>
      </c>
      <c r="BA52" s="59">
        <f t="shared" ref="BA52:BA60" si="2355">AX52-AZ52</f>
        <v>-2.6655834722115501</v>
      </c>
      <c r="BB52" s="43">
        <f t="shared" si="2263"/>
        <v>-1.11686965226887e-002</v>
      </c>
      <c r="BC52" s="50">
        <v>131</v>
      </c>
      <c r="BD52" s="50">
        <f t="shared" ref="BD52:BD60" si="2356">BC52+BA52</f>
        <v>128.33441652778799</v>
      </c>
      <c r="BG52" s="340"/>
    </row>
    <row r="53" ht="17" customHeight="1">
      <c r="A53" s="46">
        <v>27</v>
      </c>
      <c r="B53" s="82" t="s">
        <v>108</v>
      </c>
      <c r="C53" s="46" t="s">
        <v>78</v>
      </c>
      <c r="D53" s="46"/>
      <c r="E53" s="46"/>
      <c r="F53" s="46"/>
      <c r="G53" s="73">
        <v>17582</v>
      </c>
      <c r="H53" s="59">
        <f t="shared" si="2332"/>
        <v>10549.200000000001</v>
      </c>
      <c r="I53" s="59">
        <f t="shared" si="2333"/>
        <v>10549.200000000001</v>
      </c>
      <c r="J53" s="59">
        <f t="shared" si="2334"/>
        <v>0</v>
      </c>
      <c r="K53" s="59">
        <f t="shared" si="2335"/>
        <v>0</v>
      </c>
      <c r="L53" s="59">
        <f t="shared" si="2336"/>
        <v>0</v>
      </c>
      <c r="M53" s="59">
        <f t="shared" si="2337"/>
        <v>0</v>
      </c>
      <c r="N53" s="59">
        <v>2680</v>
      </c>
      <c r="O53" s="59">
        <v>747</v>
      </c>
      <c r="P53" s="59">
        <f t="shared" si="2344"/>
        <v>0</v>
      </c>
      <c r="Q53" s="59"/>
      <c r="R53" s="59"/>
      <c r="S53" s="59"/>
      <c r="T53" s="59"/>
      <c r="U53" s="59">
        <v>351</v>
      </c>
      <c r="V53" s="59">
        <f t="shared" si="2345"/>
        <v>217.807744893185</v>
      </c>
      <c r="W53" s="59">
        <v>11222.870000000001</v>
      </c>
      <c r="X53" s="62">
        <f t="shared" si="2346"/>
        <v>0.715774678797228</v>
      </c>
      <c r="Y53" s="62">
        <f t="shared" si="2347"/>
        <v>1.4503026541789401</v>
      </c>
      <c r="Z53" s="62">
        <f t="shared" si="2323"/>
        <v>0.29006053083578898</v>
      </c>
      <c r="AA53" s="59">
        <f t="shared" si="2348"/>
        <v>22.978869347998799</v>
      </c>
      <c r="AB53" s="59">
        <v>1544.5999999999999</v>
      </c>
      <c r="AC53" s="59">
        <f t="shared" si="2349"/>
        <v>19.487164680266599</v>
      </c>
      <c r="AD53" s="59"/>
      <c r="AE53" s="59"/>
      <c r="AF53" s="59">
        <v>30</v>
      </c>
      <c r="AG53" s="59">
        <f t="shared" si="2324"/>
        <v>15</v>
      </c>
      <c r="AH53" s="59">
        <f t="shared" si="2350"/>
        <v>25.2884718498659</v>
      </c>
      <c r="AI53" s="59">
        <v>1</v>
      </c>
      <c r="AJ53" s="59">
        <f t="shared" si="2325"/>
        <v>0.5</v>
      </c>
      <c r="AK53" s="59">
        <f t="shared" si="2351"/>
        <v>34.118451451485498</v>
      </c>
      <c r="AL53" s="338"/>
      <c r="AM53" s="59"/>
      <c r="AN53" s="59"/>
      <c r="AO53" s="62"/>
      <c r="AP53" s="62"/>
      <c r="AQ53" s="59"/>
      <c r="AR53" s="59"/>
      <c r="AS53" s="59"/>
      <c r="AT53" s="189">
        <f>VLOOKUP(B:B,综合进度!B:N,13,0)</f>
        <v>3.1956126208676199e-003</v>
      </c>
      <c r="AU53" s="59">
        <f t="shared" si="2352"/>
        <v>19.090525884810699</v>
      </c>
      <c r="AV53" s="59"/>
      <c r="AW53" s="59"/>
      <c r="AX53" s="59">
        <f t="shared" si="2353"/>
        <v>339</v>
      </c>
      <c r="AY53" s="59">
        <v>246</v>
      </c>
      <c r="AZ53" s="59">
        <f t="shared" si="2354"/>
        <v>230.242092290839</v>
      </c>
      <c r="BA53" s="59">
        <f t="shared" si="2355"/>
        <v>108.757907709161</v>
      </c>
      <c r="BB53" s="43">
        <f t="shared" si="2263"/>
        <v>0.47236327044743298</v>
      </c>
      <c r="BC53" s="50">
        <v>745</v>
      </c>
      <c r="BD53" s="50">
        <f t="shared" si="2356"/>
        <v>853.75790770916103</v>
      </c>
      <c r="BG53" s="340"/>
    </row>
    <row r="54" ht="17" customHeight="1">
      <c r="A54" s="46">
        <v>28</v>
      </c>
      <c r="B54" s="82" t="s">
        <v>102</v>
      </c>
      <c r="C54" s="46" t="s">
        <v>78</v>
      </c>
      <c r="D54" s="46"/>
      <c r="E54" s="46"/>
      <c r="F54" s="46"/>
      <c r="G54" s="73">
        <v>15759</v>
      </c>
      <c r="H54" s="59">
        <f t="shared" si="2332"/>
        <v>9455.3999999999996</v>
      </c>
      <c r="I54" s="59">
        <f t="shared" si="2333"/>
        <v>9455.3999999999996</v>
      </c>
      <c r="J54" s="59">
        <f t="shared" si="2334"/>
        <v>0</v>
      </c>
      <c r="K54" s="59">
        <f t="shared" si="2335"/>
        <v>0</v>
      </c>
      <c r="L54" s="59">
        <f t="shared" si="2336"/>
        <v>0</v>
      </c>
      <c r="M54" s="59">
        <f t="shared" si="2337"/>
        <v>0</v>
      </c>
      <c r="N54" s="59">
        <v>1010</v>
      </c>
      <c r="O54" s="59">
        <v>784</v>
      </c>
      <c r="P54" s="59">
        <f t="shared" si="2344"/>
        <v>0</v>
      </c>
      <c r="Q54" s="59"/>
      <c r="R54" s="59"/>
      <c r="S54" s="59"/>
      <c r="T54" s="59"/>
      <c r="U54" s="59">
        <v>442</v>
      </c>
      <c r="V54" s="59">
        <f t="shared" si="2345"/>
        <v>132.12795148364901</v>
      </c>
      <c r="W54" s="59">
        <v>11895.860000000001</v>
      </c>
      <c r="X54" s="62">
        <f t="shared" si="2346"/>
        <v>0.60717570703338097</v>
      </c>
      <c r="Y54" s="62">
        <f t="shared" si="2347"/>
        <v>1.0181729431242801</v>
      </c>
      <c r="Z54" s="62">
        <f t="shared" si="2323"/>
        <v>0.20363458862485501</v>
      </c>
      <c r="AA54" s="59">
        <f t="shared" si="2348"/>
        <v>16.132124537112901</v>
      </c>
      <c r="AB54" s="59">
        <v>705.5</v>
      </c>
      <c r="AC54" s="59">
        <f t="shared" si="2349"/>
        <v>8.9008123021676209</v>
      </c>
      <c r="AD54" s="59"/>
      <c r="AE54" s="59"/>
      <c r="AF54" s="59">
        <v>36</v>
      </c>
      <c r="AG54" s="59">
        <f t="shared" si="2324"/>
        <v>18</v>
      </c>
      <c r="AH54" s="59">
        <f t="shared" si="2350"/>
        <v>30.346166219839098</v>
      </c>
      <c r="AI54" s="59">
        <v>1</v>
      </c>
      <c r="AJ54" s="59">
        <f t="shared" si="2325"/>
        <v>0.5</v>
      </c>
      <c r="AK54" s="59">
        <f t="shared" si="2351"/>
        <v>34.118451451485498</v>
      </c>
      <c r="AL54" s="338"/>
      <c r="AM54" s="59"/>
      <c r="AN54" s="59"/>
      <c r="AO54" s="62"/>
      <c r="AP54" s="62"/>
      <c r="AQ54" s="59"/>
      <c r="AR54" s="59"/>
      <c r="AS54" s="59"/>
      <c r="AT54" s="189">
        <f>VLOOKUP(B:B,综合进度!B:N,13,0)</f>
        <v>2.9140760315549499e-003</v>
      </c>
      <c r="AU54" s="59">
        <f t="shared" si="2352"/>
        <v>17.408631930988602</v>
      </c>
      <c r="AV54" s="59"/>
      <c r="AW54" s="59"/>
      <c r="AX54" s="59">
        <f t="shared" si="2353"/>
        <v>239</v>
      </c>
      <c r="AY54" s="59">
        <v>199</v>
      </c>
      <c r="AZ54" s="59">
        <f t="shared" si="2354"/>
        <v>186.252749454785</v>
      </c>
      <c r="BA54" s="59">
        <f t="shared" si="2355"/>
        <v>52.747250545215302</v>
      </c>
      <c r="BB54" s="43">
        <f t="shared" si="2263"/>
        <v>0.28320253365183401</v>
      </c>
      <c r="BC54" s="50">
        <v>585</v>
      </c>
      <c r="BD54" s="50">
        <f t="shared" si="2356"/>
        <v>637.74725054521502</v>
      </c>
      <c r="BG54" s="340"/>
    </row>
    <row r="55" ht="17" customHeight="1">
      <c r="A55" s="46">
        <v>29</v>
      </c>
      <c r="B55" s="82" t="s">
        <v>109</v>
      </c>
      <c r="C55" s="46" t="s">
        <v>93</v>
      </c>
      <c r="D55" s="46">
        <v>2019</v>
      </c>
      <c r="E55" s="46" t="s">
        <v>94</v>
      </c>
      <c r="F55" s="46"/>
      <c r="G55" s="73">
        <v>150030</v>
      </c>
      <c r="H55" s="59">
        <f t="shared" si="2332"/>
        <v>135027</v>
      </c>
      <c r="I55" s="59">
        <f t="shared" si="2333"/>
        <v>0</v>
      </c>
      <c r="J55" s="59">
        <f t="shared" si="2334"/>
        <v>0</v>
      </c>
      <c r="K55" s="59">
        <f t="shared" si="2335"/>
        <v>0</v>
      </c>
      <c r="L55" s="59">
        <f t="shared" si="2336"/>
        <v>135027</v>
      </c>
      <c r="M55" s="59">
        <f t="shared" si="2337"/>
        <v>0</v>
      </c>
      <c r="N55" s="59">
        <v>20995</v>
      </c>
      <c r="O55" s="59">
        <v>51303</v>
      </c>
      <c r="P55" s="59">
        <f t="shared" si="2344"/>
        <v>18185.400000000001</v>
      </c>
      <c r="Q55" s="59">
        <v>9484</v>
      </c>
      <c r="R55" s="59"/>
      <c r="S55" s="59">
        <v>12495</v>
      </c>
      <c r="T55" s="59"/>
      <c r="U55" s="59">
        <v>3216</v>
      </c>
      <c r="V55" s="59">
        <f t="shared" si="2345"/>
        <v>2477.48491726465</v>
      </c>
      <c r="W55" s="59">
        <v>11910.17</v>
      </c>
      <c r="X55" s="62">
        <f t="shared" si="2346"/>
        <v>0.60486653262374501</v>
      </c>
      <c r="Y55" s="62">
        <f t="shared" si="2347"/>
        <v>10.344729874197601</v>
      </c>
      <c r="Z55" s="62">
        <f t="shared" ref="Z55:Z60" si="2357">Y55*1</f>
        <v>10.344729874197601</v>
      </c>
      <c r="AA55" s="59">
        <f t="shared" si="2348"/>
        <v>819.519275975195</v>
      </c>
      <c r="AB55" s="59">
        <v>11507.85</v>
      </c>
      <c r="AC55" s="59">
        <f t="shared" si="2349"/>
        <v>145.18669433238799</v>
      </c>
      <c r="AD55" s="59"/>
      <c r="AE55" s="59"/>
      <c r="AF55" s="59">
        <v>91</v>
      </c>
      <c r="AG55" s="59">
        <f t="shared" ref="AG55:AG58" si="2358">AF55</f>
        <v>91</v>
      </c>
      <c r="AH55" s="59">
        <f t="shared" si="2350"/>
        <v>153.41672922251999</v>
      </c>
      <c r="AI55" s="59">
        <v>1</v>
      </c>
      <c r="AJ55" s="59">
        <f t="shared" ref="AJ55:AJ58" si="2359">AI55</f>
        <v>1</v>
      </c>
      <c r="AK55" s="59">
        <f t="shared" si="2351"/>
        <v>68.236902902970996</v>
      </c>
      <c r="AL55" s="338"/>
      <c r="AM55" s="59"/>
      <c r="AN55" s="59">
        <v>1000</v>
      </c>
      <c r="AO55" s="62"/>
      <c r="AP55" s="62"/>
      <c r="AQ55" s="59"/>
      <c r="AR55" s="59"/>
      <c r="AS55" s="59"/>
      <c r="AT55" s="189">
        <f>VLOOKUP(B:B,综合进度!B:N,13,0)</f>
        <v>1.8377214688306099e-002</v>
      </c>
      <c r="AU55" s="59">
        <f t="shared" si="2352"/>
        <v>109.785113003647</v>
      </c>
      <c r="AV55" s="59"/>
      <c r="AW55" s="59"/>
      <c r="AX55" s="59">
        <f t="shared" si="2353"/>
        <v>4774</v>
      </c>
      <c r="AY55" s="59">
        <v>4267</v>
      </c>
      <c r="AZ55" s="59">
        <f t="shared" si="2354"/>
        <v>3993.67076343501</v>
      </c>
      <c r="BA55" s="59">
        <f t="shared" si="2355"/>
        <v>780.32923656499304</v>
      </c>
      <c r="BB55" s="43">
        <f t="shared" si="2263"/>
        <v>0.19539147886437699</v>
      </c>
      <c r="BC55" s="50">
        <v>828</v>
      </c>
      <c r="BD55" s="50">
        <f t="shared" si="2356"/>
        <v>1608.32923656499</v>
      </c>
      <c r="BF55" s="341"/>
      <c r="BG55" s="339"/>
    </row>
    <row r="56" ht="17" customHeight="1">
      <c r="A56" s="46">
        <v>30</v>
      </c>
      <c r="B56" s="82" t="s">
        <v>106</v>
      </c>
      <c r="C56" s="46" t="s">
        <v>90</v>
      </c>
      <c r="D56" s="46">
        <v>2018</v>
      </c>
      <c r="E56" s="46" t="s">
        <v>91</v>
      </c>
      <c r="F56" s="46"/>
      <c r="G56" s="73">
        <v>96295</v>
      </c>
      <c r="H56" s="59">
        <f t="shared" si="2332"/>
        <v>77036</v>
      </c>
      <c r="I56" s="59">
        <f t="shared" si="2333"/>
        <v>0</v>
      </c>
      <c r="J56" s="59">
        <f t="shared" si="2334"/>
        <v>0</v>
      </c>
      <c r="K56" s="59">
        <f t="shared" si="2335"/>
        <v>77036</v>
      </c>
      <c r="L56" s="59">
        <f t="shared" si="2336"/>
        <v>0</v>
      </c>
      <c r="M56" s="59">
        <f t="shared" si="2337"/>
        <v>0</v>
      </c>
      <c r="N56" s="59">
        <v>9996</v>
      </c>
      <c r="O56" s="59">
        <v>5894</v>
      </c>
      <c r="P56" s="59">
        <f t="shared" si="2344"/>
        <v>619.79999999999995</v>
      </c>
      <c r="Q56" s="59">
        <v>1033</v>
      </c>
      <c r="R56" s="59"/>
      <c r="S56" s="59"/>
      <c r="T56" s="59"/>
      <c r="U56" s="59">
        <v>1863</v>
      </c>
      <c r="V56" s="59">
        <f t="shared" si="2345"/>
        <v>1091.0462391152601</v>
      </c>
      <c r="W56" s="59">
        <v>11878.639999999999</v>
      </c>
      <c r="X56" s="62">
        <f t="shared" si="2346"/>
        <v>0.60995446198334102</v>
      </c>
      <c r="Y56" s="62">
        <f t="shared" si="2347"/>
        <v>6.4832669718671303</v>
      </c>
      <c r="Z56" s="62">
        <f t="shared" si="2357"/>
        <v>6.4832669718671303</v>
      </c>
      <c r="AA56" s="59">
        <f t="shared" si="2348"/>
        <v>513.61053593007102</v>
      </c>
      <c r="AB56" s="59">
        <v>4509.8000000000002</v>
      </c>
      <c r="AC56" s="59">
        <f t="shared" si="2349"/>
        <v>56.897070617031297</v>
      </c>
      <c r="AD56" s="59"/>
      <c r="AE56" s="59"/>
      <c r="AF56" s="59">
        <v>40</v>
      </c>
      <c r="AG56" s="59">
        <f t="shared" si="2358"/>
        <v>40</v>
      </c>
      <c r="AH56" s="59">
        <f t="shared" si="2350"/>
        <v>67.435924932975894</v>
      </c>
      <c r="AI56" s="59">
        <v>1</v>
      </c>
      <c r="AJ56" s="59">
        <f t="shared" si="2359"/>
        <v>1</v>
      </c>
      <c r="AK56" s="59">
        <f t="shared" si="2351"/>
        <v>68.236902902970996</v>
      </c>
      <c r="AL56" s="338"/>
      <c r="AM56" s="59"/>
      <c r="AN56" s="59">
        <v>2000</v>
      </c>
      <c r="AO56" s="62"/>
      <c r="AP56" s="62"/>
      <c r="AQ56" s="59"/>
      <c r="AR56" s="59"/>
      <c r="AS56" s="59"/>
      <c r="AT56" s="189">
        <f>VLOOKUP(B:B,综合进度!B:N,13,0)</f>
        <v>7.39423258620725e-003</v>
      </c>
      <c r="AU56" s="59">
        <f t="shared" si="2352"/>
        <v>44.172997585350402</v>
      </c>
      <c r="AV56" s="59"/>
      <c r="AW56" s="59"/>
      <c r="AX56" s="59">
        <f t="shared" si="2353"/>
        <v>3841</v>
      </c>
      <c r="AY56" s="59">
        <v>1478</v>
      </c>
      <c r="AZ56" s="59">
        <f t="shared" si="2354"/>
        <v>1383.3244406742299</v>
      </c>
      <c r="BA56" s="59">
        <f t="shared" si="2355"/>
        <v>2457.6755593257699</v>
      </c>
      <c r="BB56" s="43">
        <f t="shared" si="2263"/>
        <v>1.7766443554831599</v>
      </c>
      <c r="BC56" s="50">
        <v>-160</v>
      </c>
      <c r="BD56" s="50">
        <f t="shared" si="2356"/>
        <v>2297.6755593257699</v>
      </c>
      <c r="BG56" s="340"/>
    </row>
    <row r="57" ht="17" customHeight="1">
      <c r="A57" s="46">
        <v>31</v>
      </c>
      <c r="B57" s="82" t="s">
        <v>105</v>
      </c>
      <c r="C57" s="46" t="s">
        <v>90</v>
      </c>
      <c r="D57" s="46">
        <v>2017</v>
      </c>
      <c r="E57" s="46"/>
      <c r="F57" s="46"/>
      <c r="G57" s="73">
        <v>36640</v>
      </c>
      <c r="H57" s="59">
        <f t="shared" si="2332"/>
        <v>25648</v>
      </c>
      <c r="I57" s="59">
        <f t="shared" si="2333"/>
        <v>0</v>
      </c>
      <c r="J57" s="59">
        <f t="shared" si="2334"/>
        <v>25648</v>
      </c>
      <c r="K57" s="59">
        <f t="shared" si="2335"/>
        <v>0</v>
      </c>
      <c r="L57" s="59">
        <f t="shared" si="2336"/>
        <v>0</v>
      </c>
      <c r="M57" s="59">
        <f t="shared" si="2337"/>
        <v>0</v>
      </c>
      <c r="N57" s="59">
        <v>5851</v>
      </c>
      <c r="O57" s="59">
        <v>4424</v>
      </c>
      <c r="P57" s="59">
        <f t="shared" si="2344"/>
        <v>0</v>
      </c>
      <c r="Q57" s="59"/>
      <c r="R57" s="59"/>
      <c r="S57" s="59"/>
      <c r="T57" s="59"/>
      <c r="U57" s="59">
        <v>0</v>
      </c>
      <c r="V57" s="59">
        <f t="shared" si="2345"/>
        <v>453.12669091560002</v>
      </c>
      <c r="W57" s="59">
        <v>12298.75</v>
      </c>
      <c r="X57" s="62">
        <f t="shared" si="2346"/>
        <v>0.54216220054155095</v>
      </c>
      <c r="Y57" s="62">
        <f t="shared" si="2347"/>
        <v>2.3037014063211001</v>
      </c>
      <c r="Z57" s="62">
        <f t="shared" ref="Z57:Z58" si="2360">Y57*0.5</f>
        <v>1.15185070316055</v>
      </c>
      <c r="AA57" s="59">
        <f t="shared" si="2348"/>
        <v>91.250701155584693</v>
      </c>
      <c r="AB57" s="59">
        <v>4259.4390000000003</v>
      </c>
      <c r="AC57" s="59">
        <f t="shared" si="2349"/>
        <v>53.738436642852697</v>
      </c>
      <c r="AD57" s="59"/>
      <c r="AE57" s="59"/>
      <c r="AF57" s="59">
        <v>34</v>
      </c>
      <c r="AG57" s="59">
        <f t="shared" si="2358"/>
        <v>34</v>
      </c>
      <c r="AH57" s="59">
        <f t="shared" si="2350"/>
        <v>57.320536193029497</v>
      </c>
      <c r="AI57" s="59">
        <v>1</v>
      </c>
      <c r="AJ57" s="59">
        <f t="shared" si="2359"/>
        <v>1</v>
      </c>
      <c r="AK57" s="59">
        <f t="shared" si="2351"/>
        <v>68.236902902970996</v>
      </c>
      <c r="AL57" s="338"/>
      <c r="AM57" s="59"/>
      <c r="AN57" s="59"/>
      <c r="AO57" s="62"/>
      <c r="AP57" s="62"/>
      <c r="AQ57" s="59"/>
      <c r="AR57" s="59"/>
      <c r="AS57" s="59"/>
      <c r="AT57" s="189">
        <f>VLOOKUP(B:B,综合进度!B:N,13,0)</f>
        <v>3.3807919518161898e-003</v>
      </c>
      <c r="AU57" s="59">
        <f t="shared" si="2352"/>
        <v>20.196783504310901</v>
      </c>
      <c r="AV57" s="59"/>
      <c r="AW57" s="59"/>
      <c r="AX57" s="59">
        <f t="shared" si="2353"/>
        <v>744</v>
      </c>
      <c r="AY57" s="59">
        <v>634</v>
      </c>
      <c r="AZ57" s="59">
        <f t="shared" si="2354"/>
        <v>593.38815655444</v>
      </c>
      <c r="BA57" s="59">
        <f t="shared" si="2355"/>
        <v>150.61184344556</v>
      </c>
      <c r="BB57" s="43">
        <f t="shared" si="2263"/>
        <v>0.25381673324944798</v>
      </c>
      <c r="BC57" s="50">
        <v>1614</v>
      </c>
      <c r="BD57" s="50">
        <f t="shared" si="2356"/>
        <v>1764.61184344556</v>
      </c>
      <c r="BG57" s="340"/>
    </row>
    <row r="58" ht="17" customHeight="1">
      <c r="A58" s="46">
        <v>32</v>
      </c>
      <c r="B58" s="82" t="s">
        <v>104</v>
      </c>
      <c r="C58" s="46" t="s">
        <v>90</v>
      </c>
      <c r="D58" s="46">
        <v>2018</v>
      </c>
      <c r="E58" s="46"/>
      <c r="F58" s="46"/>
      <c r="G58" s="73">
        <v>64465</v>
      </c>
      <c r="H58" s="59">
        <f t="shared" si="2332"/>
        <v>51572</v>
      </c>
      <c r="I58" s="59">
        <f t="shared" si="2333"/>
        <v>0</v>
      </c>
      <c r="J58" s="59">
        <f t="shared" si="2334"/>
        <v>0</v>
      </c>
      <c r="K58" s="59">
        <f t="shared" si="2335"/>
        <v>51572</v>
      </c>
      <c r="L58" s="59">
        <f t="shared" si="2336"/>
        <v>0</v>
      </c>
      <c r="M58" s="59">
        <f t="shared" si="2337"/>
        <v>0</v>
      </c>
      <c r="N58" s="59">
        <v>5895</v>
      </c>
      <c r="O58" s="59">
        <v>5692</v>
      </c>
      <c r="P58" s="59">
        <f t="shared" si="2344"/>
        <v>552.60000000000002</v>
      </c>
      <c r="Q58" s="59">
        <v>921</v>
      </c>
      <c r="R58" s="59"/>
      <c r="S58" s="59"/>
      <c r="T58" s="59"/>
      <c r="U58" s="59">
        <v>1538</v>
      </c>
      <c r="V58" s="59">
        <f t="shared" si="2345"/>
        <v>708.49364810143595</v>
      </c>
      <c r="W58" s="59">
        <v>10774.389999999999</v>
      </c>
      <c r="X58" s="62">
        <f t="shared" si="2346"/>
        <v>0.78814494708747096</v>
      </c>
      <c r="Y58" s="62">
        <f t="shared" si="2347"/>
        <v>5.5453878477074499</v>
      </c>
      <c r="Z58" s="62">
        <f t="shared" si="2360"/>
        <v>2.77269392385372</v>
      </c>
      <c r="AA58" s="59">
        <f t="shared" si="2348"/>
        <v>219.655432728607</v>
      </c>
      <c r="AB58" s="59">
        <v>2897.6900000000001</v>
      </c>
      <c r="AC58" s="59">
        <f t="shared" si="2349"/>
        <v>36.558178313066101</v>
      </c>
      <c r="AD58" s="59"/>
      <c r="AE58" s="59"/>
      <c r="AF58" s="59">
        <v>17</v>
      </c>
      <c r="AG58" s="59">
        <f t="shared" si="2358"/>
        <v>17</v>
      </c>
      <c r="AH58" s="59">
        <f t="shared" si="2350"/>
        <v>28.660268096514699</v>
      </c>
      <c r="AI58" s="59">
        <v>1</v>
      </c>
      <c r="AJ58" s="59">
        <f t="shared" si="2359"/>
        <v>1</v>
      </c>
      <c r="AK58" s="59">
        <f t="shared" si="2351"/>
        <v>68.236902902970996</v>
      </c>
      <c r="AL58" s="338"/>
      <c r="AM58" s="59"/>
      <c r="AN58" s="59"/>
      <c r="AO58" s="62"/>
      <c r="AP58" s="62"/>
      <c r="AQ58" s="59"/>
      <c r="AR58" s="59"/>
      <c r="AS58" s="59"/>
      <c r="AT58" s="189">
        <f>VLOOKUP(B:B,综合进度!B:N,13,0)</f>
        <v>5.0987059953884499e-003</v>
      </c>
      <c r="AU58" s="59">
        <f t="shared" si="2352"/>
        <v>30.4595676423307</v>
      </c>
      <c r="AV58" s="59"/>
      <c r="AW58" s="59"/>
      <c r="AX58" s="59">
        <f t="shared" si="2353"/>
        <v>1092</v>
      </c>
      <c r="AY58" s="59">
        <v>1031</v>
      </c>
      <c r="AZ58" s="59">
        <f t="shared" si="2354"/>
        <v>964.95771199941203</v>
      </c>
      <c r="BA58" s="59">
        <f t="shared" si="2355"/>
        <v>127.042288000588</v>
      </c>
      <c r="BB58" s="43">
        <f t="shared" si="2263"/>
        <v>0.1316558087684</v>
      </c>
      <c r="BC58" s="50">
        <v>566</v>
      </c>
      <c r="BD58" s="50">
        <f t="shared" si="2356"/>
        <v>693.04228800058797</v>
      </c>
      <c r="BG58" s="340"/>
    </row>
    <row r="59" ht="17" customHeight="1">
      <c r="A59" s="46">
        <v>33</v>
      </c>
      <c r="B59" s="82" t="s">
        <v>103</v>
      </c>
      <c r="C59" s="46" t="s">
        <v>78</v>
      </c>
      <c r="D59" s="46"/>
      <c r="E59" s="46"/>
      <c r="F59" s="46"/>
      <c r="G59" s="73">
        <v>33845</v>
      </c>
      <c r="H59" s="59">
        <f t="shared" si="2332"/>
        <v>20307</v>
      </c>
      <c r="I59" s="59">
        <f t="shared" si="2333"/>
        <v>20307</v>
      </c>
      <c r="J59" s="59">
        <f t="shared" si="2334"/>
        <v>0</v>
      </c>
      <c r="K59" s="59">
        <f t="shared" si="2335"/>
        <v>0</v>
      </c>
      <c r="L59" s="59">
        <f t="shared" si="2336"/>
        <v>0</v>
      </c>
      <c r="M59" s="59">
        <f t="shared" si="2337"/>
        <v>0</v>
      </c>
      <c r="N59" s="59">
        <v>8035</v>
      </c>
      <c r="O59" s="59">
        <v>3734</v>
      </c>
      <c r="P59" s="59">
        <f t="shared" si="2344"/>
        <v>0</v>
      </c>
      <c r="Q59" s="59"/>
      <c r="R59" s="59"/>
      <c r="S59" s="59"/>
      <c r="T59" s="59"/>
      <c r="U59" s="59">
        <v>988</v>
      </c>
      <c r="V59" s="59">
        <f t="shared" si="2345"/>
        <v>578.77099720938202</v>
      </c>
      <c r="W59" s="59">
        <v>11453.129999999999</v>
      </c>
      <c r="X59" s="62">
        <f t="shared" si="2346"/>
        <v>0.67861810999480399</v>
      </c>
      <c r="Y59" s="62">
        <f t="shared" si="2347"/>
        <v>2.8420526446582399</v>
      </c>
      <c r="Z59" s="62">
        <f>Y59*0.2</f>
        <v>0.56841052893164801</v>
      </c>
      <c r="AA59" s="59">
        <f t="shared" si="2348"/>
        <v>45.030019226371898</v>
      </c>
      <c r="AB59" s="59">
        <v>2938.3099999999999</v>
      </c>
      <c r="AC59" s="59">
        <f t="shared" si="2349"/>
        <v>37.070653147529598</v>
      </c>
      <c r="AD59" s="59"/>
      <c r="AE59" s="59"/>
      <c r="AF59" s="59">
        <v>25</v>
      </c>
      <c r="AG59" s="59">
        <f>AF59*0.5</f>
        <v>12.5</v>
      </c>
      <c r="AH59" s="59">
        <f t="shared" si="2350"/>
        <v>21.073726541555001</v>
      </c>
      <c r="AI59" s="59">
        <v>1</v>
      </c>
      <c r="AJ59" s="59">
        <f>AI59*0.5</f>
        <v>0.5</v>
      </c>
      <c r="AK59" s="59">
        <f t="shared" si="2351"/>
        <v>34.118451451485498</v>
      </c>
      <c r="AL59" s="338"/>
      <c r="AM59" s="59"/>
      <c r="AN59" s="59"/>
      <c r="AO59" s="62"/>
      <c r="AP59" s="62"/>
      <c r="AQ59" s="59"/>
      <c r="AR59" s="59"/>
      <c r="AS59" s="59"/>
      <c r="AT59" s="189">
        <f>VLOOKUP(B:B,综合进度!B:N,13,0)</f>
        <v>3.7290991804735199e-003</v>
      </c>
      <c r="AU59" s="59">
        <f t="shared" si="2352"/>
        <v>22.2775639221652</v>
      </c>
      <c r="AV59" s="59"/>
      <c r="AW59" s="59"/>
      <c r="AX59" s="59">
        <f t="shared" si="2353"/>
        <v>738</v>
      </c>
      <c r="AY59" s="59">
        <v>536</v>
      </c>
      <c r="AZ59" s="59">
        <f t="shared" si="2354"/>
        <v>501.66569702394298</v>
      </c>
      <c r="BA59" s="59">
        <f t="shared" si="2355"/>
        <v>236.33430297605699</v>
      </c>
      <c r="BB59" s="43">
        <f t="shared" si="2263"/>
        <v>0.47109918891818903</v>
      </c>
      <c r="BC59" s="50">
        <v>2134</v>
      </c>
      <c r="BD59" s="50">
        <f t="shared" si="2356"/>
        <v>2370.3343029760599</v>
      </c>
      <c r="BG59" s="340"/>
    </row>
    <row r="60" s="5" customFormat="1" ht="17" customHeight="1">
      <c r="A60" s="46">
        <v>34</v>
      </c>
      <c r="B60" s="82" t="s">
        <v>107</v>
      </c>
      <c r="C60" s="46" t="s">
        <v>93</v>
      </c>
      <c r="D60" s="46">
        <v>2020</v>
      </c>
      <c r="E60" s="46" t="s">
        <v>94</v>
      </c>
      <c r="F60" s="46"/>
      <c r="G60" s="73">
        <v>314717</v>
      </c>
      <c r="H60" s="59">
        <f t="shared" si="2332"/>
        <v>314717</v>
      </c>
      <c r="I60" s="59">
        <f t="shared" si="2333"/>
        <v>0</v>
      </c>
      <c r="J60" s="59">
        <f t="shared" si="2334"/>
        <v>0</v>
      </c>
      <c r="K60" s="59">
        <f t="shared" si="2335"/>
        <v>0</v>
      </c>
      <c r="L60" s="59">
        <f t="shared" si="2336"/>
        <v>0</v>
      </c>
      <c r="M60" s="59">
        <f t="shared" si="2337"/>
        <v>314717</v>
      </c>
      <c r="N60" s="59">
        <v>38583</v>
      </c>
      <c r="O60" s="59">
        <v>83627</v>
      </c>
      <c r="P60" s="59">
        <f t="shared" si="2344"/>
        <v>65885.600000000006</v>
      </c>
      <c r="Q60" s="59">
        <v>5196</v>
      </c>
      <c r="R60" s="59"/>
      <c r="S60" s="59">
        <v>62768</v>
      </c>
      <c r="T60" s="59"/>
      <c r="U60" s="59">
        <v>5229</v>
      </c>
      <c r="V60" s="59">
        <f t="shared" si="2345"/>
        <v>5684.1035081239097</v>
      </c>
      <c r="W60" s="59">
        <v>9862.1700000000001</v>
      </c>
      <c r="X60" s="62">
        <f t="shared" si="2346"/>
        <v>0.93534795756670197</v>
      </c>
      <c r="Y60" s="62">
        <f t="shared" si="2347"/>
        <v>33.045843340831603</v>
      </c>
      <c r="Z60" s="62">
        <f t="shared" si="2357"/>
        <v>33.045843340831603</v>
      </c>
      <c r="AA60" s="59">
        <f t="shared" si="2348"/>
        <v>2617.9229364139001</v>
      </c>
      <c r="AB60" s="59">
        <v>19899.93</v>
      </c>
      <c r="AC60" s="59">
        <f t="shared" si="2349"/>
        <v>251.06384373674601</v>
      </c>
      <c r="AD60" s="59"/>
      <c r="AE60" s="59"/>
      <c r="AF60" s="59">
        <v>69</v>
      </c>
      <c r="AG60" s="59">
        <f>AF60</f>
        <v>69</v>
      </c>
      <c r="AH60" s="59">
        <f t="shared" si="2350"/>
        <v>116.326970509383</v>
      </c>
      <c r="AI60" s="59">
        <v>1</v>
      </c>
      <c r="AJ60" s="59">
        <f>AI60</f>
        <v>1</v>
      </c>
      <c r="AK60" s="59">
        <f t="shared" si="2351"/>
        <v>68.236902902970996</v>
      </c>
      <c r="AL60" s="338"/>
      <c r="AM60" s="59"/>
      <c r="AN60" s="59">
        <v>1000</v>
      </c>
      <c r="AO60" s="62"/>
      <c r="AP60" s="62"/>
      <c r="AQ60" s="59"/>
      <c r="AR60" s="59"/>
      <c r="AS60" s="59"/>
      <c r="AT60" s="189">
        <f>VLOOKUP(B:B,综合进度!B:N,13,0)</f>
        <v>4.2612673963418397e-002</v>
      </c>
      <c r="AU60" s="59">
        <f t="shared" si="2352"/>
        <v>254.56726200398199</v>
      </c>
      <c r="AV60" s="59"/>
      <c r="AW60" s="59"/>
      <c r="AX60" s="59">
        <f t="shared" si="2353"/>
        <v>9992</v>
      </c>
      <c r="AY60" s="59">
        <v>15995</v>
      </c>
      <c r="AZ60" s="59">
        <f t="shared" si="2354"/>
        <v>14970.415716227501</v>
      </c>
      <c r="BA60" s="59">
        <f t="shared" si="2355"/>
        <v>-4978.4157162275396</v>
      </c>
      <c r="BB60" s="43">
        <f t="shared" si="2263"/>
        <v>-0.332550265176075</v>
      </c>
      <c r="BC60" s="50">
        <v>1609</v>
      </c>
      <c r="BD60" s="50">
        <f t="shared" si="2356"/>
        <v>-3369.4157162275401</v>
      </c>
      <c r="BF60" s="341"/>
      <c r="BG60" s="339"/>
    </row>
    <row r="61" s="5" customFormat="1" ht="17" customHeight="1">
      <c r="A61" s="65"/>
      <c r="B61" s="66" t="s">
        <v>110</v>
      </c>
      <c r="C61" s="67">
        <v>1</v>
      </c>
      <c r="D61" s="67"/>
      <c r="E61" s="67"/>
      <c r="F61" s="68"/>
      <c r="G61" s="69">
        <f t="shared" ref="G61:P61" si="2361">G62+G63</f>
        <v>85777</v>
      </c>
      <c r="H61" s="69">
        <f t="shared" si="2361"/>
        <v>51466.199999999997</v>
      </c>
      <c r="I61" s="69">
        <f t="shared" si="2361"/>
        <v>51466.199999999997</v>
      </c>
      <c r="J61" s="69">
        <f t="shared" si="2361"/>
        <v>0</v>
      </c>
      <c r="K61" s="69">
        <f t="shared" si="2361"/>
        <v>0</v>
      </c>
      <c r="L61" s="69">
        <f t="shared" si="2361"/>
        <v>0</v>
      </c>
      <c r="M61" s="69">
        <f t="shared" si="2361"/>
        <v>0</v>
      </c>
      <c r="N61" s="69">
        <f t="shared" si="2361"/>
        <v>10598</v>
      </c>
      <c r="O61" s="69">
        <f t="shared" si="2361"/>
        <v>5246</v>
      </c>
      <c r="P61" s="69">
        <f t="shared" si="2361"/>
        <v>0</v>
      </c>
      <c r="Q61" s="59">
        <v>0</v>
      </c>
      <c r="R61" s="69">
        <f t="shared" ref="R61:V61" si="2362">R62+R63</f>
        <v>0</v>
      </c>
      <c r="S61" s="69">
        <f t="shared" si="2362"/>
        <v>0</v>
      </c>
      <c r="T61" s="69">
        <f t="shared" si="2362"/>
        <v>0</v>
      </c>
      <c r="U61" s="69">
        <f t="shared" si="2362"/>
        <v>2860</v>
      </c>
      <c r="V61" s="69">
        <f t="shared" si="2362"/>
        <v>996.98520066639298</v>
      </c>
      <c r="W61" s="69"/>
      <c r="X61" s="69">
        <f t="shared" ref="X61:AC61" si="2363">X62+X63</f>
        <v>3.95858170540034</v>
      </c>
      <c r="Y61" s="69">
        <f t="shared" si="2363"/>
        <v>4.1529175456913201</v>
      </c>
      <c r="Z61" s="69">
        <f t="shared" si="2363"/>
        <v>0.83058350913826295</v>
      </c>
      <c r="AA61" s="69">
        <f t="shared" si="2363"/>
        <v>65.799610460947306</v>
      </c>
      <c r="AB61" s="69">
        <f t="shared" si="2363"/>
        <v>7595.6400000000003</v>
      </c>
      <c r="AC61" s="69">
        <f t="shared" si="2363"/>
        <v>95.829009149307595</v>
      </c>
      <c r="AD61" s="69"/>
      <c r="AE61" s="69"/>
      <c r="AF61" s="69">
        <f t="shared" ref="AF61:AK61" si="2364">AF62+AF63</f>
        <v>84</v>
      </c>
      <c r="AG61" s="69">
        <f t="shared" si="2364"/>
        <v>42</v>
      </c>
      <c r="AH61" s="69">
        <f t="shared" si="2364"/>
        <v>70.807721179624707</v>
      </c>
      <c r="AI61" s="69">
        <f t="shared" si="2364"/>
        <v>5.5281608287293604</v>
      </c>
      <c r="AJ61" s="69">
        <f t="shared" si="2364"/>
        <v>2.7640804143646802</v>
      </c>
      <c r="AK61" s="69">
        <f t="shared" si="2364"/>
        <v>188.61228685100701</v>
      </c>
      <c r="AL61" s="69"/>
      <c r="AM61" s="69"/>
      <c r="AN61" s="69">
        <f t="shared" ref="AN61:AU61" si="2365">AN62+AN63</f>
        <v>0</v>
      </c>
      <c r="AO61" s="71"/>
      <c r="AP61" s="69"/>
      <c r="AQ61" s="69">
        <f t="shared" si="2365"/>
        <v>0</v>
      </c>
      <c r="AR61" s="69"/>
      <c r="AS61" s="69">
        <f t="shared" si="2365"/>
        <v>0</v>
      </c>
      <c r="AT61" s="403">
        <f t="shared" si="2365"/>
        <v>2.4383926497157499e-002</v>
      </c>
      <c r="AU61" s="69">
        <f t="shared" si="2365"/>
        <v>145.66908921548901</v>
      </c>
      <c r="AV61" s="69"/>
      <c r="AW61" s="71"/>
      <c r="AX61" s="69">
        <f t="shared" ref="AX61:BA61" si="2366">AX62+AX63</f>
        <v>1564</v>
      </c>
      <c r="AY61" s="69">
        <v>1496</v>
      </c>
      <c r="AZ61" s="69">
        <f t="shared" si="2366"/>
        <v>1400.1714230369701</v>
      </c>
      <c r="BA61" s="69">
        <f t="shared" si="2366"/>
        <v>163.828576963025</v>
      </c>
      <c r="BB61" s="336">
        <f t="shared" si="2263"/>
        <v>0.117006085303242</v>
      </c>
      <c r="BC61" s="404">
        <v>3285</v>
      </c>
      <c r="BD61" s="69">
        <f>BD62+BD63</f>
        <v>3435.8285769630302</v>
      </c>
      <c r="BG61" s="340"/>
    </row>
    <row r="62" s="5" customFormat="1" ht="17" customHeight="1">
      <c r="A62" s="44"/>
      <c r="B62" s="72" t="s">
        <v>111</v>
      </c>
      <c r="C62" s="46">
        <v>2</v>
      </c>
      <c r="D62" s="46"/>
      <c r="E62" s="46"/>
      <c r="F62" s="46"/>
      <c r="G62" s="73"/>
      <c r="H62" s="59">
        <f t="shared" ref="H62:H72" si="2367">SUM(I62:M62)</f>
        <v>0</v>
      </c>
      <c r="I62" s="59">
        <f t="shared" ref="I62:I72" si="2368">IF(D62="",G62*0.6,0)</f>
        <v>0</v>
      </c>
      <c r="J62" s="59">
        <f t="shared" ref="J62:J72" si="2369">IF(D62=2017,G62*0.7,0)</f>
        <v>0</v>
      </c>
      <c r="K62" s="59">
        <f t="shared" ref="K62:K72" si="2370">IF(D62=2018,G62*0.8,0)</f>
        <v>0</v>
      </c>
      <c r="L62" s="59">
        <f t="shared" ref="L62:L72" si="2371">IF(D62=2019,G62*0.9,0)</f>
        <v>0</v>
      </c>
      <c r="M62" s="59">
        <f t="shared" ref="M62:M72" si="2372">IF(D62=2020,G62*1,0)</f>
        <v>0</v>
      </c>
      <c r="N62" s="59"/>
      <c r="O62" s="59"/>
      <c r="P62" s="59">
        <f>L62*0.4+M62*0.6+N62*0.8+O62*1</f>
        <v>0</v>
      </c>
      <c r="Q62" s="59"/>
      <c r="R62" s="59"/>
      <c r="S62" s="59"/>
      <c r="T62" s="59"/>
      <c r="U62" s="59"/>
      <c r="V62" s="59">
        <f>H62/$H$9*134866+N62/$N$9*202299+P62/$P$9*100000+U62/$U$9*34867</f>
        <v>0</v>
      </c>
      <c r="W62" s="59"/>
      <c r="X62" s="62"/>
      <c r="Y62" s="62"/>
      <c r="Z62" s="62"/>
      <c r="AA62" s="59"/>
      <c r="AB62" s="59"/>
      <c r="AC62" s="59"/>
      <c r="AD62" s="59"/>
      <c r="AE62" s="59"/>
      <c r="AF62" s="59"/>
      <c r="AG62" s="59">
        <f>AF62</f>
        <v>0</v>
      </c>
      <c r="AH62" s="59">
        <f>AG62/$AG$9*40459.89</f>
        <v>0</v>
      </c>
      <c r="AI62" s="59"/>
      <c r="AJ62" s="59">
        <f>AI62</f>
        <v>0</v>
      </c>
      <c r="AK62" s="59">
        <f>AJ62/$AJ$9*40459.89</f>
        <v>0</v>
      </c>
      <c r="AL62" s="59"/>
      <c r="AM62" s="59"/>
      <c r="AN62" s="59"/>
      <c r="AO62" s="62"/>
      <c r="AP62" s="62"/>
      <c r="AQ62" s="59"/>
      <c r="AR62" s="59"/>
      <c r="AS62" s="59"/>
      <c r="AT62" s="189"/>
      <c r="AU62" s="59"/>
      <c r="AV62" s="59"/>
      <c r="AW62" s="59"/>
      <c r="AX62" s="59">
        <f>V62+AA62+AC62+AE62+AH62+AK62+AM62+AN62+AQ62+AS62+AU62+AW62</f>
        <v>0</v>
      </c>
      <c r="AY62" s="73"/>
      <c r="AZ62" s="170"/>
      <c r="BA62" s="50"/>
      <c r="BB62" s="43"/>
      <c r="BC62" s="50">
        <v>13</v>
      </c>
      <c r="BD62" s="50"/>
      <c r="BG62" s="340"/>
    </row>
    <row r="63" s="5" customFormat="1" ht="17" customHeight="1">
      <c r="A63" s="75"/>
      <c r="B63" s="76" t="s">
        <v>76</v>
      </c>
      <c r="C63" s="77">
        <v>3</v>
      </c>
      <c r="D63" s="77"/>
      <c r="E63" s="77"/>
      <c r="F63" s="78"/>
      <c r="G63" s="79">
        <f t="shared" ref="G63:P63" si="2373">SUM(G64:G72)</f>
        <v>85777</v>
      </c>
      <c r="H63" s="79">
        <f t="shared" si="2373"/>
        <v>51466.199999999997</v>
      </c>
      <c r="I63" s="79">
        <f t="shared" si="2373"/>
        <v>51466.199999999997</v>
      </c>
      <c r="J63" s="79">
        <f t="shared" si="2373"/>
        <v>0</v>
      </c>
      <c r="K63" s="79">
        <f t="shared" si="2373"/>
        <v>0</v>
      </c>
      <c r="L63" s="79">
        <f t="shared" si="2373"/>
        <v>0</v>
      </c>
      <c r="M63" s="79">
        <f t="shared" si="2373"/>
        <v>0</v>
      </c>
      <c r="N63" s="79">
        <f t="shared" si="2373"/>
        <v>10598</v>
      </c>
      <c r="O63" s="79">
        <f t="shared" si="2373"/>
        <v>5246</v>
      </c>
      <c r="P63" s="79">
        <f t="shared" si="2373"/>
        <v>0</v>
      </c>
      <c r="Q63" s="59">
        <v>0</v>
      </c>
      <c r="R63" s="79">
        <f t="shared" ref="R63:V63" si="2374">SUM(R64:R72)</f>
        <v>0</v>
      </c>
      <c r="S63" s="79">
        <f t="shared" si="2374"/>
        <v>0</v>
      </c>
      <c r="T63" s="79">
        <f t="shared" si="2374"/>
        <v>0</v>
      </c>
      <c r="U63" s="79">
        <f t="shared" si="2374"/>
        <v>2860</v>
      </c>
      <c r="V63" s="79">
        <f t="shared" si="2374"/>
        <v>996.98520066639298</v>
      </c>
      <c r="W63" s="79"/>
      <c r="X63" s="79">
        <f t="shared" ref="X63:AC63" si="2375">SUM(X64:X72)</f>
        <v>3.95858170540034</v>
      </c>
      <c r="Y63" s="79">
        <f t="shared" si="2375"/>
        <v>4.1529175456913201</v>
      </c>
      <c r="Z63" s="79">
        <f t="shared" si="2375"/>
        <v>0.83058350913826295</v>
      </c>
      <c r="AA63" s="79">
        <f t="shared" si="2375"/>
        <v>65.799610460947306</v>
      </c>
      <c r="AB63" s="79">
        <f t="shared" si="2375"/>
        <v>7595.6400000000003</v>
      </c>
      <c r="AC63" s="79">
        <f t="shared" si="2375"/>
        <v>95.829009149307595</v>
      </c>
      <c r="AD63" s="79"/>
      <c r="AE63" s="79"/>
      <c r="AF63" s="79">
        <f t="shared" ref="AF63:AK63" si="2376">SUM(AF64:AF72)</f>
        <v>84</v>
      </c>
      <c r="AG63" s="79">
        <f t="shared" si="2376"/>
        <v>42</v>
      </c>
      <c r="AH63" s="79">
        <f t="shared" si="2376"/>
        <v>70.807721179624707</v>
      </c>
      <c r="AI63" s="79">
        <f t="shared" si="2376"/>
        <v>5.5281608287293604</v>
      </c>
      <c r="AJ63" s="79">
        <f t="shared" si="2376"/>
        <v>2.7640804143646802</v>
      </c>
      <c r="AK63" s="79">
        <f t="shared" si="2376"/>
        <v>188.61228685100701</v>
      </c>
      <c r="AL63" s="79"/>
      <c r="AM63" s="79"/>
      <c r="AN63" s="79">
        <f t="shared" ref="AN63:AU63" si="2377">SUM(AN64:AN72)</f>
        <v>0</v>
      </c>
      <c r="AO63" s="79"/>
      <c r="AP63" s="79"/>
      <c r="AQ63" s="79">
        <f t="shared" si="2377"/>
        <v>0</v>
      </c>
      <c r="AR63" s="79"/>
      <c r="AS63" s="79">
        <f t="shared" si="2377"/>
        <v>0</v>
      </c>
      <c r="AT63" s="405">
        <f t="shared" si="2377"/>
        <v>2.4383926497157499e-002</v>
      </c>
      <c r="AU63" s="79">
        <f t="shared" si="2377"/>
        <v>145.66908921548901</v>
      </c>
      <c r="AV63" s="79"/>
      <c r="AW63" s="81"/>
      <c r="AX63" s="79">
        <f t="shared" ref="AX63:BA63" si="2378">SUM(AX64:AX72)</f>
        <v>1564</v>
      </c>
      <c r="AY63" s="79">
        <v>1496</v>
      </c>
      <c r="AZ63" s="79">
        <f t="shared" si="2378"/>
        <v>1400.1714230369701</v>
      </c>
      <c r="BA63" s="79">
        <f t="shared" si="2378"/>
        <v>163.828576963025</v>
      </c>
      <c r="BB63" s="337">
        <f t="shared" si="2263"/>
        <v>0.117006085303242</v>
      </c>
      <c r="BC63" s="406">
        <v>3272</v>
      </c>
      <c r="BD63" s="79">
        <f>SUM(BD64:BD72)</f>
        <v>3435.8285769630302</v>
      </c>
      <c r="BG63" s="340"/>
    </row>
    <row r="64" ht="17" customHeight="1">
      <c r="A64" s="46">
        <v>35</v>
      </c>
      <c r="B64" s="82" t="s">
        <v>112</v>
      </c>
      <c r="C64" s="46" t="s">
        <v>78</v>
      </c>
      <c r="D64" s="46"/>
      <c r="E64" s="46"/>
      <c r="F64" s="46"/>
      <c r="G64" s="73">
        <v>5253</v>
      </c>
      <c r="H64" s="59">
        <f t="shared" si="2367"/>
        <v>3151.8000000000002</v>
      </c>
      <c r="I64" s="59">
        <f t="shared" si="2368"/>
        <v>3151.8000000000002</v>
      </c>
      <c r="J64" s="59">
        <f t="shared" si="2369"/>
        <v>0</v>
      </c>
      <c r="K64" s="59">
        <f t="shared" si="2370"/>
        <v>0</v>
      </c>
      <c r="L64" s="59">
        <f t="shared" si="2371"/>
        <v>0</v>
      </c>
      <c r="M64" s="59">
        <f t="shared" si="2372"/>
        <v>0</v>
      </c>
      <c r="N64" s="59">
        <v>118</v>
      </c>
      <c r="O64" s="59">
        <v>343</v>
      </c>
      <c r="P64" s="59">
        <f t="shared" ref="P64:P72" si="2379">Q64*0.6+R64*0.8+S64*1+T64*1.25</f>
        <v>0</v>
      </c>
      <c r="Q64" s="59"/>
      <c r="R64" s="59"/>
      <c r="S64" s="59"/>
      <c r="T64" s="59"/>
      <c r="U64" s="59">
        <v>212</v>
      </c>
      <c r="V64" s="59">
        <f t="shared" ref="V64:V72" si="2380">H64/$H$9*298699*0.12+N64/$N$9*298699*0.15+P64/$P$9*298699*0.035+U64/$U$9*298699*0.025</f>
        <v>36.393049683622998</v>
      </c>
      <c r="W64" s="59">
        <v>15658.540000000001</v>
      </c>
      <c r="X64" s="62">
        <f t="shared" ref="X64:X72" si="2381">($W$64-W64)/($W$64-$W$44)</f>
        <v>0</v>
      </c>
      <c r="Y64" s="62">
        <f t="shared" ref="Y64:Y72" si="2382">(G64+N64)*X64/10000</f>
        <v>0</v>
      </c>
      <c r="Z64" s="62">
        <f t="shared" ref="Z64:Z72" si="2383">Y64*0.2</f>
        <v>0</v>
      </c>
      <c r="AA64" s="59">
        <f t="shared" ref="AA64:AA72" si="2384">Z64/$Z$9*298699*0.12</f>
        <v>0</v>
      </c>
      <c r="AB64" s="59">
        <v>667.96000000000004</v>
      </c>
      <c r="AC64" s="59">
        <f t="shared" ref="AC64:AC72" si="2385">(AB64/$AB$9*298699*0.03)</f>
        <v>8.4271957269395994</v>
      </c>
      <c r="AD64" s="59"/>
      <c r="AE64" s="59"/>
      <c r="AF64" s="59">
        <v>15</v>
      </c>
      <c r="AG64" s="59">
        <f t="shared" ref="AG64:AG72" si="2386">AF64*0.5</f>
        <v>7.5</v>
      </c>
      <c r="AH64" s="59">
        <f t="shared" ref="AH64:AH72" si="2387">AG64/$AG$9*298699*0.02</f>
        <v>12.644235924933</v>
      </c>
      <c r="AI64" s="59">
        <v>0.90856192851205297</v>
      </c>
      <c r="AJ64" s="59">
        <f t="shared" ref="AJ64:AJ72" si="2388">AI64*0.5</f>
        <v>0.45428096425602599</v>
      </c>
      <c r="AK64" s="59">
        <f t="shared" ref="AK64:AK72" si="2389">AJ64/$AJ$9*298699*0.02</f>
        <v>30.9987260486065</v>
      </c>
      <c r="AL64" s="338"/>
      <c r="AM64" s="59"/>
      <c r="AN64" s="59"/>
      <c r="AO64" s="62"/>
      <c r="AP64" s="62"/>
      <c r="AQ64" s="59"/>
      <c r="AR64" s="59"/>
      <c r="AS64" s="59"/>
      <c r="AT64" s="189">
        <f>VLOOKUP(B:B,综合进度!B:N,13,0)</f>
        <v>2.96499111815974e-003</v>
      </c>
      <c r="AU64" s="59">
        <f t="shared" ref="AU64:AU72" si="2390">AT64/$AT$9*298699*0.02</f>
        <v>17.712797640063901</v>
      </c>
      <c r="AV64" s="59"/>
      <c r="AW64" s="59"/>
      <c r="AX64" s="59">
        <f t="shared" ref="AX64:AX72" si="2391">ROUND(V64+AA64+AC64+AN64+AQ64+AS64+AU64+AW64+AH64+AK64,0)</f>
        <v>106</v>
      </c>
      <c r="AY64" s="59">
        <v>125</v>
      </c>
      <c r="AZ64" s="59">
        <f t="shared" ref="AZ64:AZ72" si="2392">AY64/$AY$9*280243</f>
        <v>116.992933074614</v>
      </c>
      <c r="BA64" s="59">
        <f t="shared" ref="BA64:BA72" si="2393">AX64-AZ64</f>
        <v>-10.9929330746135</v>
      </c>
      <c r="BB64" s="43">
        <f t="shared" si="2263"/>
        <v>-9.3962368373161798e-002</v>
      </c>
      <c r="BC64" s="50">
        <v>895</v>
      </c>
      <c r="BD64" s="50">
        <f t="shared" ref="BD64:BD72" si="2394">BC64+BA64</f>
        <v>884.00706692538699</v>
      </c>
      <c r="BG64" s="340"/>
    </row>
    <row r="65" ht="17" customHeight="1">
      <c r="A65" s="46">
        <v>36</v>
      </c>
      <c r="B65" s="82" t="s">
        <v>115</v>
      </c>
      <c r="C65" s="46" t="s">
        <v>78</v>
      </c>
      <c r="D65" s="46"/>
      <c r="E65" s="46"/>
      <c r="F65" s="46"/>
      <c r="G65" s="73">
        <v>2166</v>
      </c>
      <c r="H65" s="59">
        <f t="shared" si="2367"/>
        <v>1299.5999999999999</v>
      </c>
      <c r="I65" s="59">
        <f t="shared" si="2368"/>
        <v>1299.5999999999999</v>
      </c>
      <c r="J65" s="59">
        <f t="shared" si="2369"/>
        <v>0</v>
      </c>
      <c r="K65" s="59">
        <f t="shared" si="2370"/>
        <v>0</v>
      </c>
      <c r="L65" s="59">
        <f t="shared" si="2371"/>
        <v>0</v>
      </c>
      <c r="M65" s="59">
        <f t="shared" si="2372"/>
        <v>0</v>
      </c>
      <c r="N65" s="59">
        <v>349</v>
      </c>
      <c r="O65" s="59">
        <v>88</v>
      </c>
      <c r="P65" s="59">
        <f t="shared" si="2379"/>
        <v>0</v>
      </c>
      <c r="Q65" s="59"/>
      <c r="R65" s="59"/>
      <c r="S65" s="59"/>
      <c r="T65" s="59"/>
      <c r="U65" s="59">
        <v>66</v>
      </c>
      <c r="V65" s="59">
        <f t="shared" si="2380"/>
        <v>28.926230851752798</v>
      </c>
      <c r="W65" s="59">
        <v>10967.09</v>
      </c>
      <c r="X65" s="62">
        <f t="shared" si="2381"/>
        <v>0.75704935598077805</v>
      </c>
      <c r="Y65" s="62">
        <f t="shared" si="2382"/>
        <v>0.190397913029166</v>
      </c>
      <c r="Z65" s="62">
        <f t="shared" si="2383"/>
        <v>3.80795826058331e-002</v>
      </c>
      <c r="AA65" s="59">
        <f t="shared" si="2384"/>
        <v>3.0167005176624402</v>
      </c>
      <c r="AB65" s="59">
        <v>40</v>
      </c>
      <c r="AC65" s="59">
        <f t="shared" si="2385"/>
        <v>0.50465271734472705</v>
      </c>
      <c r="AD65" s="59"/>
      <c r="AE65" s="59"/>
      <c r="AF65" s="59">
        <v>6</v>
      </c>
      <c r="AG65" s="59">
        <f t="shared" si="2386"/>
        <v>3</v>
      </c>
      <c r="AH65" s="59">
        <f t="shared" si="2387"/>
        <v>5.0576943699731904</v>
      </c>
      <c r="AI65" s="59">
        <v>1</v>
      </c>
      <c r="AJ65" s="59">
        <f t="shared" si="2388"/>
        <v>0.5</v>
      </c>
      <c r="AK65" s="59">
        <f t="shared" si="2389"/>
        <v>34.118451451485498</v>
      </c>
      <c r="AL65" s="338"/>
      <c r="AM65" s="59"/>
      <c r="AN65" s="59"/>
      <c r="AO65" s="62"/>
      <c r="AP65" s="62"/>
      <c r="AQ65" s="59"/>
      <c r="AR65" s="59"/>
      <c r="AS65" s="59"/>
      <c r="AT65" s="189">
        <f>VLOOKUP(B:B,综合进度!B:N,13,0)</f>
        <v>1.82975889404355e-003</v>
      </c>
      <c r="AU65" s="59">
        <f t="shared" si="2390"/>
        <v>10.930943037838301</v>
      </c>
      <c r="AV65" s="59"/>
      <c r="AW65" s="59"/>
      <c r="AX65" s="59">
        <f t="shared" si="2391"/>
        <v>83</v>
      </c>
      <c r="AY65" s="59">
        <v>94</v>
      </c>
      <c r="AZ65" s="59">
        <f t="shared" si="2392"/>
        <v>87.978685672109407</v>
      </c>
      <c r="BA65" s="59">
        <f t="shared" si="2393"/>
        <v>-4.9786856721093597</v>
      </c>
      <c r="BB65" s="43">
        <f t="shared" si="2263"/>
        <v>-5.6589680035282502e-002</v>
      </c>
      <c r="BC65" s="50">
        <v>749</v>
      </c>
      <c r="BD65" s="50">
        <f t="shared" si="2394"/>
        <v>744.02131432789099</v>
      </c>
      <c r="BG65" s="340"/>
    </row>
    <row r="66" ht="17" customHeight="1">
      <c r="A66" s="46">
        <v>37</v>
      </c>
      <c r="B66" s="82" t="s">
        <v>113</v>
      </c>
      <c r="C66" s="46" t="s">
        <v>78</v>
      </c>
      <c r="D66" s="46"/>
      <c r="E66" s="46"/>
      <c r="F66" s="46"/>
      <c r="G66" s="73">
        <v>6785</v>
      </c>
      <c r="H66" s="59">
        <f t="shared" si="2367"/>
        <v>4071</v>
      </c>
      <c r="I66" s="59">
        <f t="shared" si="2368"/>
        <v>4071</v>
      </c>
      <c r="J66" s="59">
        <f t="shared" si="2369"/>
        <v>0</v>
      </c>
      <c r="K66" s="59">
        <f t="shared" si="2370"/>
        <v>0</v>
      </c>
      <c r="L66" s="59">
        <f t="shared" si="2371"/>
        <v>0</v>
      </c>
      <c r="M66" s="59">
        <f t="shared" si="2372"/>
        <v>0</v>
      </c>
      <c r="N66" s="59">
        <v>551</v>
      </c>
      <c r="O66" s="59">
        <v>19</v>
      </c>
      <c r="P66" s="59">
        <f t="shared" si="2379"/>
        <v>0</v>
      </c>
      <c r="Q66" s="59"/>
      <c r="R66" s="59"/>
      <c r="S66" s="59"/>
      <c r="T66" s="59"/>
      <c r="U66" s="59">
        <v>315</v>
      </c>
      <c r="V66" s="59">
        <f t="shared" si="2380"/>
        <v>69.003926941434202</v>
      </c>
      <c r="W66" s="59">
        <v>11997.51</v>
      </c>
      <c r="X66" s="62">
        <f t="shared" si="2381"/>
        <v>0.59077266169868703</v>
      </c>
      <c r="Y66" s="62">
        <f t="shared" si="2382"/>
        <v>0.433390824622157</v>
      </c>
      <c r="Z66" s="62">
        <f t="shared" si="2383"/>
        <v>8.6678164924431395e-002</v>
      </c>
      <c r="AA66" s="59">
        <f t="shared" si="2384"/>
        <v>6.8667261325891698</v>
      </c>
      <c r="AB66" s="59">
        <v>79</v>
      </c>
      <c r="AC66" s="59">
        <f t="shared" si="2385"/>
        <v>0.99668911675583605</v>
      </c>
      <c r="AD66" s="59"/>
      <c r="AE66" s="59"/>
      <c r="AF66" s="59">
        <v>1</v>
      </c>
      <c r="AG66" s="59">
        <f t="shared" si="2386"/>
        <v>0.5</v>
      </c>
      <c r="AH66" s="59">
        <f t="shared" si="2387"/>
        <v>0.84294906166219896</v>
      </c>
      <c r="AI66" s="59">
        <v>0.519893899204244</v>
      </c>
      <c r="AJ66" s="59">
        <f t="shared" si="2388"/>
        <v>0.259946949602122</v>
      </c>
      <c r="AK66" s="59">
        <f t="shared" si="2389"/>
        <v>17.7379747599235</v>
      </c>
      <c r="AL66" s="338"/>
      <c r="AM66" s="59"/>
      <c r="AN66" s="59"/>
      <c r="AO66" s="62"/>
      <c r="AP66" s="62"/>
      <c r="AQ66" s="59"/>
      <c r="AR66" s="59"/>
      <c r="AS66" s="59"/>
      <c r="AT66" s="189">
        <f>VLOOKUP(B:B,综合进度!B:N,13,0)</f>
        <v>2.7311582135222199e-003</v>
      </c>
      <c r="AU66" s="59">
        <f t="shared" si="2390"/>
        <v>16.315884544417401</v>
      </c>
      <c r="AV66" s="59"/>
      <c r="AW66" s="59"/>
      <c r="AX66" s="59">
        <f t="shared" si="2391"/>
        <v>112</v>
      </c>
      <c r="AY66" s="59">
        <v>143</v>
      </c>
      <c r="AZ66" s="59">
        <f t="shared" si="2392"/>
        <v>133.839915437358</v>
      </c>
      <c r="BA66" s="59">
        <f t="shared" si="2393"/>
        <v>-21.839915437357899</v>
      </c>
      <c r="BB66" s="43">
        <f t="shared" si="2263"/>
        <v>-0.16317938759890899</v>
      </c>
      <c r="BC66" s="50">
        <v>-1194</v>
      </c>
      <c r="BD66" s="50">
        <f t="shared" si="2394"/>
        <v>-1215.8399154373601</v>
      </c>
      <c r="BG66" s="340"/>
    </row>
    <row r="67" ht="17" customHeight="1">
      <c r="A67" s="46">
        <v>38</v>
      </c>
      <c r="B67" s="82" t="s">
        <v>114</v>
      </c>
      <c r="C67" s="46" t="s">
        <v>78</v>
      </c>
      <c r="D67" s="46"/>
      <c r="E67" s="46"/>
      <c r="F67" s="46"/>
      <c r="G67" s="73">
        <v>6899</v>
      </c>
      <c r="H67" s="59">
        <f t="shared" si="2367"/>
        <v>4139.3999999999996</v>
      </c>
      <c r="I67" s="59">
        <f t="shared" si="2368"/>
        <v>4139.3999999999996</v>
      </c>
      <c r="J67" s="59">
        <f t="shared" si="2369"/>
        <v>0</v>
      </c>
      <c r="K67" s="59">
        <f t="shared" si="2370"/>
        <v>0</v>
      </c>
      <c r="L67" s="59">
        <f t="shared" si="2371"/>
        <v>0</v>
      </c>
      <c r="M67" s="59">
        <f t="shared" si="2372"/>
        <v>0</v>
      </c>
      <c r="N67" s="59">
        <v>646</v>
      </c>
      <c r="O67" s="59">
        <v>272</v>
      </c>
      <c r="P67" s="59">
        <f t="shared" si="2379"/>
        <v>0</v>
      </c>
      <c r="Q67" s="59"/>
      <c r="R67" s="59"/>
      <c r="S67" s="59"/>
      <c r="T67" s="59"/>
      <c r="U67" s="59">
        <v>312</v>
      </c>
      <c r="V67" s="59">
        <f t="shared" si="2380"/>
        <v>74.026880950895503</v>
      </c>
      <c r="W67" s="59">
        <v>12334.950000000001</v>
      </c>
      <c r="X67" s="62">
        <f t="shared" si="2381"/>
        <v>0.53632068316707104</v>
      </c>
      <c r="Y67" s="62">
        <f t="shared" si="2382"/>
        <v>0.40465395544955501</v>
      </c>
      <c r="Z67" s="62">
        <f t="shared" si="2383"/>
        <v>8.0930791089910997e-002</v>
      </c>
      <c r="AA67" s="59">
        <f t="shared" si="2384"/>
        <v>6.4114137463882397</v>
      </c>
      <c r="AB67" s="59">
        <v>135</v>
      </c>
      <c r="AC67" s="59">
        <f t="shared" si="2385"/>
        <v>1.7032029210384501</v>
      </c>
      <c r="AD67" s="59"/>
      <c r="AE67" s="59"/>
      <c r="AF67" s="59">
        <v>2</v>
      </c>
      <c r="AG67" s="59">
        <f t="shared" si="2386"/>
        <v>1</v>
      </c>
      <c r="AH67" s="59">
        <f t="shared" si="2387"/>
        <v>1.6858981233243999</v>
      </c>
      <c r="AI67" s="59">
        <v>1.0869565217391301e-002</v>
      </c>
      <c r="AJ67" s="59">
        <f t="shared" si="2388"/>
        <v>5.4347826086956503e-003</v>
      </c>
      <c r="AK67" s="59">
        <f t="shared" si="2389"/>
        <v>0.37085273316832001</v>
      </c>
      <c r="AL67" s="338"/>
      <c r="AM67" s="59"/>
      <c r="AN67" s="59"/>
      <c r="AO67" s="62"/>
      <c r="AP67" s="62"/>
      <c r="AQ67" s="59"/>
      <c r="AR67" s="59"/>
      <c r="AS67" s="59"/>
      <c r="AT67" s="189">
        <f>VLOOKUP(B:B,综合进度!B:N,13,0)</f>
        <v>2.5187848238334199e-003</v>
      </c>
      <c r="AU67" s="59">
        <f t="shared" si="2390"/>
        <v>15.0471701618844</v>
      </c>
      <c r="AV67" s="59"/>
      <c r="AW67" s="59"/>
      <c r="AX67" s="59">
        <f t="shared" si="2391"/>
        <v>99</v>
      </c>
      <c r="AY67" s="59">
        <v>153</v>
      </c>
      <c r="AZ67" s="59">
        <f t="shared" si="2392"/>
        <v>143.199350083327</v>
      </c>
      <c r="BA67" s="59">
        <f t="shared" si="2393"/>
        <v>-44.199350083326898</v>
      </c>
      <c r="BB67" s="43">
        <f t="shared" si="2263"/>
        <v>-0.30865608019594798</v>
      </c>
      <c r="BC67" s="50">
        <v>75</v>
      </c>
      <c r="BD67" s="50">
        <f t="shared" si="2394"/>
        <v>30.800649916673098</v>
      </c>
      <c r="BG67" s="340"/>
    </row>
    <row r="68" ht="17" customHeight="1">
      <c r="A68" s="46">
        <v>39</v>
      </c>
      <c r="B68" s="82" t="s">
        <v>116</v>
      </c>
      <c r="C68" s="46" t="s">
        <v>78</v>
      </c>
      <c r="D68" s="46"/>
      <c r="E68" s="46"/>
      <c r="F68" s="46"/>
      <c r="G68" s="73">
        <v>9464</v>
      </c>
      <c r="H68" s="59">
        <f t="shared" si="2367"/>
        <v>5678.3999999999996</v>
      </c>
      <c r="I68" s="59">
        <f t="shared" si="2368"/>
        <v>5678.3999999999996</v>
      </c>
      <c r="J68" s="59">
        <f t="shared" si="2369"/>
        <v>0</v>
      </c>
      <c r="K68" s="59">
        <f t="shared" si="2370"/>
        <v>0</v>
      </c>
      <c r="L68" s="59">
        <f t="shared" si="2371"/>
        <v>0</v>
      </c>
      <c r="M68" s="59">
        <f t="shared" si="2372"/>
        <v>0</v>
      </c>
      <c r="N68" s="59">
        <v>956</v>
      </c>
      <c r="O68" s="59">
        <v>102</v>
      </c>
      <c r="P68" s="59">
        <f t="shared" si="2379"/>
        <v>0</v>
      </c>
      <c r="Q68" s="59"/>
      <c r="R68" s="59"/>
      <c r="S68" s="59"/>
      <c r="T68" s="59"/>
      <c r="U68" s="59">
        <v>280</v>
      </c>
      <c r="V68" s="59">
        <f t="shared" si="2380"/>
        <v>97.543644439995305</v>
      </c>
      <c r="W68" s="59">
        <v>12056.07</v>
      </c>
      <c r="X68" s="62">
        <f t="shared" si="2381"/>
        <v>0.58132295845422499</v>
      </c>
      <c r="Y68" s="62">
        <f t="shared" si="2382"/>
        <v>0.60573852270930195</v>
      </c>
      <c r="Z68" s="62">
        <f t="shared" si="2383"/>
        <v>0.12114770454186</v>
      </c>
      <c r="AA68" s="59">
        <f t="shared" si="2384"/>
        <v>9.5974356333691393</v>
      </c>
      <c r="AB68" s="59">
        <v>3636.0999999999999</v>
      </c>
      <c r="AC68" s="59">
        <f t="shared" si="2385"/>
        <v>45.874193638429098</v>
      </c>
      <c r="AD68" s="59"/>
      <c r="AE68" s="59"/>
      <c r="AF68" s="59">
        <v>8</v>
      </c>
      <c r="AG68" s="59">
        <f t="shared" si="2386"/>
        <v>4</v>
      </c>
      <c r="AH68" s="59">
        <f t="shared" si="2387"/>
        <v>6.7435924932975899</v>
      </c>
      <c r="AI68" s="59">
        <v>0.78114334470989799</v>
      </c>
      <c r="AJ68" s="59">
        <f t="shared" si="2388"/>
        <v>0.390571672354949</v>
      </c>
      <c r="AK68" s="59">
        <f t="shared" si="2389"/>
        <v>26.651401283135598</v>
      </c>
      <c r="AL68" s="338"/>
      <c r="AM68" s="59"/>
      <c r="AN68" s="59"/>
      <c r="AO68" s="62"/>
      <c r="AP68" s="62"/>
      <c r="AQ68" s="59"/>
      <c r="AR68" s="59"/>
      <c r="AS68" s="59"/>
      <c r="AT68" s="189">
        <f>VLOOKUP(B:B,综合进度!B:N,13,0)</f>
        <v>2.8884217679352002e-003</v>
      </c>
      <c r="AU68" s="59">
        <f t="shared" si="2390"/>
        <v>17.2553738732095</v>
      </c>
      <c r="AV68" s="59"/>
      <c r="AW68" s="59"/>
      <c r="AX68" s="59">
        <f t="shared" si="2391"/>
        <v>204</v>
      </c>
      <c r="AY68" s="59">
        <v>148</v>
      </c>
      <c r="AZ68" s="59">
        <f t="shared" si="2392"/>
        <v>138.51963276034201</v>
      </c>
      <c r="BA68" s="59">
        <f t="shared" si="2393"/>
        <v>65.480367239657596</v>
      </c>
      <c r="BB68" s="43">
        <f t="shared" si="2263"/>
        <v>0.47271542621649498</v>
      </c>
      <c r="BC68" s="50">
        <v>1490</v>
      </c>
      <c r="BD68" s="50">
        <f t="shared" si="2394"/>
        <v>1555.4803672396599</v>
      </c>
      <c r="BG68" s="340"/>
    </row>
    <row r="69" ht="17" customHeight="1">
      <c r="A69" s="46">
        <v>40</v>
      </c>
      <c r="B69" s="82" t="s">
        <v>117</v>
      </c>
      <c r="C69" s="46" t="s">
        <v>78</v>
      </c>
      <c r="D69" s="46"/>
      <c r="E69" s="46"/>
      <c r="F69" s="46"/>
      <c r="G69" s="73">
        <v>11773</v>
      </c>
      <c r="H69" s="59">
        <f t="shared" si="2367"/>
        <v>7063.8000000000002</v>
      </c>
      <c r="I69" s="59">
        <f t="shared" si="2368"/>
        <v>7063.8000000000002</v>
      </c>
      <c r="J69" s="59">
        <f t="shared" si="2369"/>
        <v>0</v>
      </c>
      <c r="K69" s="59">
        <f t="shared" si="2370"/>
        <v>0</v>
      </c>
      <c r="L69" s="59">
        <f t="shared" si="2371"/>
        <v>0</v>
      </c>
      <c r="M69" s="59">
        <f t="shared" si="2372"/>
        <v>0</v>
      </c>
      <c r="N69" s="59">
        <v>1081</v>
      </c>
      <c r="O69" s="59">
        <v>1238</v>
      </c>
      <c r="P69" s="59">
        <f t="shared" si="2379"/>
        <v>0</v>
      </c>
      <c r="Q69" s="59"/>
      <c r="R69" s="59"/>
      <c r="S69" s="59"/>
      <c r="T69" s="59"/>
      <c r="U69" s="59">
        <v>521</v>
      </c>
      <c r="V69" s="59">
        <f t="shared" si="2380"/>
        <v>124.678629855598</v>
      </c>
      <c r="W69" s="59">
        <v>14172.93</v>
      </c>
      <c r="X69" s="62">
        <f t="shared" si="2381"/>
        <v>0.239729741069095</v>
      </c>
      <c r="Y69" s="62">
        <f t="shared" si="2382"/>
        <v>0.30814860917021403</v>
      </c>
      <c r="Z69" s="62">
        <f t="shared" si="2383"/>
        <v>6.1629721834042799e-002</v>
      </c>
      <c r="AA69" s="59">
        <f t="shared" si="2384"/>
        <v>4.8823648012273599</v>
      </c>
      <c r="AB69" s="59">
        <v>215</v>
      </c>
      <c r="AC69" s="59">
        <f t="shared" si="2385"/>
        <v>2.7125083557279099</v>
      </c>
      <c r="AD69" s="59"/>
      <c r="AE69" s="59"/>
      <c r="AF69" s="59">
        <v>19</v>
      </c>
      <c r="AG69" s="59">
        <f t="shared" si="2386"/>
        <v>9.5</v>
      </c>
      <c r="AH69" s="59">
        <f t="shared" si="2387"/>
        <v>16.016032171581799</v>
      </c>
      <c r="AI69" s="59">
        <v>0.81467889908256896</v>
      </c>
      <c r="AJ69" s="59">
        <f t="shared" si="2388"/>
        <v>0.40733944954128398</v>
      </c>
      <c r="AK69" s="59">
        <f t="shared" si="2389"/>
        <v>27.795582466898299</v>
      </c>
      <c r="AL69" s="338"/>
      <c r="AM69" s="59"/>
      <c r="AN69" s="59"/>
      <c r="AO69" s="62"/>
      <c r="AP69" s="62"/>
      <c r="AQ69" s="59"/>
      <c r="AR69" s="59"/>
      <c r="AS69" s="59"/>
      <c r="AT69" s="189">
        <f>VLOOKUP(B:B,综合进度!B:N,13,0)</f>
        <v>2.63402837032582e-003</v>
      </c>
      <c r="AU69" s="59">
        <f t="shared" si="2390"/>
        <v>15.735632803759099</v>
      </c>
      <c r="AV69" s="59"/>
      <c r="AW69" s="59"/>
      <c r="AX69" s="59">
        <f t="shared" si="2391"/>
        <v>192</v>
      </c>
      <c r="AY69" s="59">
        <v>183</v>
      </c>
      <c r="AZ69" s="59">
        <f t="shared" si="2392"/>
        <v>171.27765402123401</v>
      </c>
      <c r="BA69" s="59">
        <f t="shared" si="2393"/>
        <v>20.722345978765802</v>
      </c>
      <c r="BB69" s="43">
        <f t="shared" si="2263"/>
        <v>0.120986862513873</v>
      </c>
      <c r="BC69" s="50">
        <v>759</v>
      </c>
      <c r="BD69" s="50">
        <f t="shared" si="2394"/>
        <v>779.72234597876604</v>
      </c>
      <c r="BG69" s="340"/>
    </row>
    <row r="70" ht="17" customHeight="1">
      <c r="A70" s="46">
        <v>41</v>
      </c>
      <c r="B70" s="82" t="s">
        <v>118</v>
      </c>
      <c r="C70" s="46" t="s">
        <v>78</v>
      </c>
      <c r="D70" s="46"/>
      <c r="E70" s="46"/>
      <c r="F70" s="46"/>
      <c r="G70" s="73">
        <v>10779</v>
      </c>
      <c r="H70" s="59">
        <f t="shared" si="2367"/>
        <v>6467.3999999999996</v>
      </c>
      <c r="I70" s="59">
        <f t="shared" si="2368"/>
        <v>6467.3999999999996</v>
      </c>
      <c r="J70" s="59">
        <f t="shared" si="2369"/>
        <v>0</v>
      </c>
      <c r="K70" s="59">
        <f t="shared" si="2370"/>
        <v>0</v>
      </c>
      <c r="L70" s="59">
        <f t="shared" si="2371"/>
        <v>0</v>
      </c>
      <c r="M70" s="59">
        <f t="shared" si="2372"/>
        <v>0</v>
      </c>
      <c r="N70" s="59">
        <v>1745</v>
      </c>
      <c r="O70" s="59">
        <v>308</v>
      </c>
      <c r="P70" s="59">
        <f t="shared" si="2379"/>
        <v>0</v>
      </c>
      <c r="Q70" s="59"/>
      <c r="R70" s="59"/>
      <c r="S70" s="59"/>
      <c r="T70" s="59"/>
      <c r="U70" s="59">
        <v>443</v>
      </c>
      <c r="V70" s="59">
        <f t="shared" si="2380"/>
        <v>150.16109225956001</v>
      </c>
      <c r="W70" s="59">
        <v>13821.809999999999</v>
      </c>
      <c r="X70" s="62">
        <f t="shared" si="2381"/>
        <v>0.29638923224388503</v>
      </c>
      <c r="Y70" s="62">
        <f t="shared" si="2382"/>
        <v>0.37119787446224201</v>
      </c>
      <c r="Z70" s="62">
        <f t="shared" si="2383"/>
        <v>7.4239574892448396e-002</v>
      </c>
      <c r="AA70" s="59">
        <f t="shared" si="2384"/>
        <v>5.8813292763030898</v>
      </c>
      <c r="AB70" s="59">
        <v>893</v>
      </c>
      <c r="AC70" s="59">
        <f t="shared" si="2385"/>
        <v>11.266371914721001</v>
      </c>
      <c r="AD70" s="59"/>
      <c r="AE70" s="59"/>
      <c r="AF70" s="59">
        <v>5</v>
      </c>
      <c r="AG70" s="59">
        <f t="shared" si="2386"/>
        <v>2.5</v>
      </c>
      <c r="AH70" s="59">
        <f t="shared" si="2387"/>
        <v>4.2147453083109898</v>
      </c>
      <c r="AI70" s="59">
        <v>0.124774774774775</v>
      </c>
      <c r="AJ70" s="59">
        <f t="shared" si="2388"/>
        <v>6.23873873873875e-002</v>
      </c>
      <c r="AK70" s="59">
        <f t="shared" si="2389"/>
        <v>4.2571220955231999</v>
      </c>
      <c r="AL70" s="338"/>
      <c r="AM70" s="59"/>
      <c r="AN70" s="59"/>
      <c r="AO70" s="62"/>
      <c r="AP70" s="62"/>
      <c r="AQ70" s="59"/>
      <c r="AR70" s="59"/>
      <c r="AS70" s="59"/>
      <c r="AT70" s="189">
        <f>VLOOKUP(B:B,综合进度!B:N,13,0)</f>
        <v>2.75886681194875e-003</v>
      </c>
      <c r="AU70" s="59">
        <f t="shared" si="2390"/>
        <v>16.4814151572456</v>
      </c>
      <c r="AV70" s="59"/>
      <c r="AW70" s="59"/>
      <c r="AX70" s="59">
        <f t="shared" si="2391"/>
        <v>192</v>
      </c>
      <c r="AY70" s="59">
        <v>202</v>
      </c>
      <c r="AZ70" s="59">
        <f t="shared" si="2392"/>
        <v>189.060579848575</v>
      </c>
      <c r="BA70" s="59">
        <f t="shared" si="2393"/>
        <v>2.9394201514245699</v>
      </c>
      <c r="BB70" s="43">
        <f t="shared" si="2263"/>
        <v>1.5547504158608e-002</v>
      </c>
      <c r="BC70" s="50">
        <v>522</v>
      </c>
      <c r="BD70" s="50">
        <f t="shared" si="2394"/>
        <v>524.939420151425</v>
      </c>
      <c r="BG70" s="340"/>
    </row>
    <row r="71" ht="17" customHeight="1">
      <c r="A71" s="46">
        <v>42</v>
      </c>
      <c r="B71" s="82" t="s">
        <v>119</v>
      </c>
      <c r="C71" s="46" t="s">
        <v>78</v>
      </c>
      <c r="D71" s="46"/>
      <c r="E71" s="46"/>
      <c r="F71" s="46"/>
      <c r="G71" s="73">
        <v>10233</v>
      </c>
      <c r="H71" s="59">
        <f t="shared" si="2367"/>
        <v>6139.8000000000002</v>
      </c>
      <c r="I71" s="59">
        <f t="shared" si="2368"/>
        <v>6139.8000000000002</v>
      </c>
      <c r="J71" s="59">
        <f t="shared" si="2369"/>
        <v>0</v>
      </c>
      <c r="K71" s="59">
        <f t="shared" si="2370"/>
        <v>0</v>
      </c>
      <c r="L71" s="59">
        <f t="shared" si="2371"/>
        <v>0</v>
      </c>
      <c r="M71" s="59">
        <f t="shared" si="2372"/>
        <v>0</v>
      </c>
      <c r="N71" s="59">
        <v>1932</v>
      </c>
      <c r="O71" s="59">
        <v>1042</v>
      </c>
      <c r="P71" s="59">
        <f t="shared" si="2379"/>
        <v>0</v>
      </c>
      <c r="Q71" s="59"/>
      <c r="R71" s="59"/>
      <c r="S71" s="59"/>
      <c r="T71" s="59"/>
      <c r="U71" s="59">
        <v>287</v>
      </c>
      <c r="V71" s="59">
        <f t="shared" si="2380"/>
        <v>149.54978172808799</v>
      </c>
      <c r="W71" s="59">
        <v>12832.049999999999</v>
      </c>
      <c r="X71" s="62">
        <f t="shared" si="2381"/>
        <v>0.45610470839209799</v>
      </c>
      <c r="Y71" s="62">
        <f t="shared" si="2382"/>
        <v>0.55485137775898796</v>
      </c>
      <c r="Z71" s="62">
        <f t="shared" si="2383"/>
        <v>0.110970275551798</v>
      </c>
      <c r="AA71" s="59">
        <f t="shared" si="2384"/>
        <v>8.7911700915274995</v>
      </c>
      <c r="AB71" s="59">
        <v>1668.7</v>
      </c>
      <c r="AC71" s="59">
        <f t="shared" si="2385"/>
        <v>21.052849735828701</v>
      </c>
      <c r="AD71" s="59"/>
      <c r="AE71" s="59"/>
      <c r="AF71" s="59">
        <v>25</v>
      </c>
      <c r="AG71" s="59">
        <f t="shared" si="2386"/>
        <v>12.5</v>
      </c>
      <c r="AH71" s="59">
        <f t="shared" si="2387"/>
        <v>21.073726541555001</v>
      </c>
      <c r="AI71" s="59">
        <v>0.91807044410413496</v>
      </c>
      <c r="AJ71" s="59">
        <f t="shared" si="2388"/>
        <v>0.45903522205206698</v>
      </c>
      <c r="AK71" s="59">
        <f t="shared" si="2389"/>
        <v>31.323141876210599</v>
      </c>
      <c r="AL71" s="338"/>
      <c r="AM71" s="59"/>
      <c r="AN71" s="59"/>
      <c r="AO71" s="62"/>
      <c r="AP71" s="62"/>
      <c r="AQ71" s="59"/>
      <c r="AR71" s="59"/>
      <c r="AS71" s="59"/>
      <c r="AT71" s="189">
        <f>VLOOKUP(B:B,综合进度!B:N,13,0)</f>
        <v>3.34812683483963e-003</v>
      </c>
      <c r="AU71" s="59">
        <f t="shared" si="2390"/>
        <v>20.001642748795302</v>
      </c>
      <c r="AV71" s="59"/>
      <c r="AW71" s="59"/>
      <c r="AX71" s="59">
        <f t="shared" si="2391"/>
        <v>252</v>
      </c>
      <c r="AY71" s="59">
        <v>194</v>
      </c>
      <c r="AZ71" s="59">
        <f t="shared" si="2392"/>
        <v>181.57303213180001</v>
      </c>
      <c r="BA71" s="59">
        <f t="shared" si="2393"/>
        <v>70.426967868199796</v>
      </c>
      <c r="BB71" s="43">
        <f t="shared" si="2263"/>
        <v>0.38787129917551999</v>
      </c>
      <c r="BC71" s="50">
        <v>870</v>
      </c>
      <c r="BD71" s="50">
        <f t="shared" si="2394"/>
        <v>940.42696786819999</v>
      </c>
      <c r="BG71" s="340"/>
    </row>
    <row r="72" ht="17" customHeight="1">
      <c r="A72" s="46">
        <v>43</v>
      </c>
      <c r="B72" s="82" t="s">
        <v>120</v>
      </c>
      <c r="C72" s="46" t="s">
        <v>78</v>
      </c>
      <c r="D72" s="46"/>
      <c r="E72" s="46"/>
      <c r="F72" s="46"/>
      <c r="G72" s="73">
        <v>22425</v>
      </c>
      <c r="H72" s="59">
        <f t="shared" si="2367"/>
        <v>13455</v>
      </c>
      <c r="I72" s="59">
        <f t="shared" si="2368"/>
        <v>13455</v>
      </c>
      <c r="J72" s="59">
        <f t="shared" si="2369"/>
        <v>0</v>
      </c>
      <c r="K72" s="59">
        <f t="shared" si="2370"/>
        <v>0</v>
      </c>
      <c r="L72" s="59">
        <f t="shared" si="2371"/>
        <v>0</v>
      </c>
      <c r="M72" s="59">
        <f t="shared" si="2372"/>
        <v>0</v>
      </c>
      <c r="N72" s="59">
        <v>3220</v>
      </c>
      <c r="O72" s="59">
        <v>1834</v>
      </c>
      <c r="P72" s="59">
        <f t="shared" si="2379"/>
        <v>0</v>
      </c>
      <c r="Q72" s="59"/>
      <c r="R72" s="59"/>
      <c r="S72" s="59"/>
      <c r="T72" s="59"/>
      <c r="U72" s="59">
        <v>424</v>
      </c>
      <c r="V72" s="59">
        <f t="shared" si="2380"/>
        <v>266.70196395544599</v>
      </c>
      <c r="W72" s="59">
        <v>12554.5</v>
      </c>
      <c r="X72" s="62">
        <f t="shared" si="2381"/>
        <v>0.50089236439449902</v>
      </c>
      <c r="Y72" s="62">
        <f t="shared" si="2382"/>
        <v>1.2845384684896901</v>
      </c>
      <c r="Z72" s="62">
        <f t="shared" si="2383"/>
        <v>0.25690769369793898</v>
      </c>
      <c r="AA72" s="59">
        <f t="shared" si="2384"/>
        <v>20.352470261880299</v>
      </c>
      <c r="AB72" s="59">
        <v>260.88</v>
      </c>
      <c r="AC72" s="59">
        <f t="shared" si="2385"/>
        <v>3.29134502252231</v>
      </c>
      <c r="AD72" s="59"/>
      <c r="AE72" s="59"/>
      <c r="AF72" s="59">
        <v>3</v>
      </c>
      <c r="AG72" s="59">
        <f t="shared" si="2386"/>
        <v>1.5</v>
      </c>
      <c r="AH72" s="59">
        <f t="shared" si="2387"/>
        <v>2.5288471849866001</v>
      </c>
      <c r="AI72" s="59">
        <v>0.45016797312430001</v>
      </c>
      <c r="AJ72" s="59">
        <f t="shared" si="2388"/>
        <v>0.22508398656215001</v>
      </c>
      <c r="AK72" s="59">
        <f t="shared" si="2389"/>
        <v>15.359034136055</v>
      </c>
      <c r="AL72" s="338"/>
      <c r="AM72" s="59"/>
      <c r="AN72" s="59"/>
      <c r="AO72" s="62"/>
      <c r="AP72" s="62"/>
      <c r="AQ72" s="59"/>
      <c r="AR72" s="59"/>
      <c r="AS72" s="59"/>
      <c r="AT72" s="189">
        <f>VLOOKUP(B:B,综合进度!B:N,13,0)</f>
        <v>2.7097896625491598e-003</v>
      </c>
      <c r="AU72" s="59">
        <f t="shared" si="2390"/>
        <v>16.188229248275402</v>
      </c>
      <c r="AV72" s="59"/>
      <c r="AW72" s="59"/>
      <c r="AX72" s="59">
        <f t="shared" si="2391"/>
        <v>324</v>
      </c>
      <c r="AY72" s="59">
        <v>254</v>
      </c>
      <c r="AZ72" s="59">
        <f t="shared" si="2392"/>
        <v>237.72964000761499</v>
      </c>
      <c r="BA72" s="59">
        <f t="shared" si="2393"/>
        <v>86.270359992385394</v>
      </c>
      <c r="BB72" s="43">
        <f t="shared" si="2263"/>
        <v>0.362892738110494</v>
      </c>
      <c r="BC72" s="50">
        <v>-894</v>
      </c>
      <c r="BD72" s="50">
        <f t="shared" si="2394"/>
        <v>-807.72964000761499</v>
      </c>
      <c r="BG72" s="340"/>
    </row>
    <row r="73" s="5" customFormat="1" ht="17" customHeight="1">
      <c r="A73" s="65"/>
      <c r="B73" s="66" t="s">
        <v>121</v>
      </c>
      <c r="C73" s="67">
        <v>1</v>
      </c>
      <c r="D73" s="67"/>
      <c r="E73" s="67"/>
      <c r="F73" s="68"/>
      <c r="G73" s="69">
        <f t="shared" ref="G73:P73" si="2395">G74+G75</f>
        <v>819007</v>
      </c>
      <c r="H73" s="69">
        <f t="shared" si="2395"/>
        <v>673466.59999999998</v>
      </c>
      <c r="I73" s="69">
        <f t="shared" si="2395"/>
        <v>118389.60000000001</v>
      </c>
      <c r="J73" s="69">
        <f t="shared" si="2395"/>
        <v>23216.200000000001</v>
      </c>
      <c r="K73" s="69">
        <f t="shared" si="2395"/>
        <v>38713.599999999999</v>
      </c>
      <c r="L73" s="69">
        <f t="shared" si="2395"/>
        <v>422872.20000000001</v>
      </c>
      <c r="M73" s="69">
        <f t="shared" si="2395"/>
        <v>70275</v>
      </c>
      <c r="N73" s="69">
        <f t="shared" si="2395"/>
        <v>77031</v>
      </c>
      <c r="O73" s="69">
        <f t="shared" si="2395"/>
        <v>75806</v>
      </c>
      <c r="P73" s="69">
        <f t="shared" si="2395"/>
        <v>5923.1999999999998</v>
      </c>
      <c r="Q73" s="59">
        <v>9872</v>
      </c>
      <c r="R73" s="69">
        <f t="shared" ref="R73:V73" si="2396">R74+R75</f>
        <v>0</v>
      </c>
      <c r="S73" s="69">
        <f t="shared" si="2396"/>
        <v>0</v>
      </c>
      <c r="T73" s="69">
        <f t="shared" si="2396"/>
        <v>0</v>
      </c>
      <c r="U73" s="69">
        <f t="shared" si="2396"/>
        <v>11924</v>
      </c>
      <c r="V73" s="69">
        <f t="shared" si="2396"/>
        <v>8811.5235679056805</v>
      </c>
      <c r="W73" s="69"/>
      <c r="X73" s="69">
        <f t="shared" ref="X73:AC73" si="2397">X74+X75</f>
        <v>9.0653184917912206</v>
      </c>
      <c r="Y73" s="69">
        <f t="shared" si="2397"/>
        <v>63.921692040851902</v>
      </c>
      <c r="Z73" s="69">
        <f t="shared" si="2397"/>
        <v>49.253447888065601</v>
      </c>
      <c r="AA73" s="69">
        <f t="shared" si="2397"/>
        <v>3901.9046841607701</v>
      </c>
      <c r="AB73" s="69">
        <f t="shared" si="2397"/>
        <v>69842.210000000006</v>
      </c>
      <c r="AC73" s="69">
        <f t="shared" si="2397"/>
        <v>881.15152654652695</v>
      </c>
      <c r="AD73" s="69"/>
      <c r="AE73" s="69"/>
      <c r="AF73" s="69">
        <f t="shared" ref="AF73:AK73" si="2398">AF74+AF75</f>
        <v>415</v>
      </c>
      <c r="AG73" s="69">
        <f t="shared" si="2398"/>
        <v>300</v>
      </c>
      <c r="AH73" s="69">
        <f t="shared" si="2398"/>
        <v>505.76943699731902</v>
      </c>
      <c r="AI73" s="69">
        <f t="shared" si="2398"/>
        <v>12.740524025349</v>
      </c>
      <c r="AJ73" s="69">
        <f t="shared" si="2398"/>
        <v>9.7935559326050008</v>
      </c>
      <c r="AK73" s="69">
        <f t="shared" si="2398"/>
        <v>668.28192524798305</v>
      </c>
      <c r="AL73" s="69"/>
      <c r="AM73" s="69"/>
      <c r="AN73" s="69">
        <f t="shared" ref="AN73:AU73" si="2399">AN74+AN75</f>
        <v>6000</v>
      </c>
      <c r="AO73" s="69"/>
      <c r="AP73" s="69"/>
      <c r="AQ73" s="69">
        <f t="shared" si="2399"/>
        <v>0</v>
      </c>
      <c r="AR73" s="69"/>
      <c r="AS73" s="69">
        <f t="shared" si="2399"/>
        <v>0</v>
      </c>
      <c r="AT73" s="403">
        <f t="shared" si="2399"/>
        <v>8.8912596146842895e-002</v>
      </c>
      <c r="AU73" s="69">
        <f t="shared" si="2399"/>
        <v>531.16207112931602</v>
      </c>
      <c r="AV73" s="69"/>
      <c r="AW73" s="71"/>
      <c r="AX73" s="69">
        <f t="shared" ref="AX73:BA73" si="2400">AX74+AX75</f>
        <v>21301</v>
      </c>
      <c r="AY73" s="69">
        <v>25969</v>
      </c>
      <c r="AZ73" s="69">
        <f t="shared" si="2400"/>
        <v>24305.5158321171</v>
      </c>
      <c r="BA73" s="69">
        <f t="shared" si="2400"/>
        <v>-3004.5158321171102</v>
      </c>
      <c r="BB73" s="336">
        <f t="shared" si="2263"/>
        <v>-0.123614567691954</v>
      </c>
      <c r="BC73" s="404">
        <v>406</v>
      </c>
      <c r="BD73" s="69">
        <f>BD74+BD75</f>
        <v>-2703.5158321171002</v>
      </c>
      <c r="BG73" s="340"/>
    </row>
    <row r="74" s="5" customFormat="1" ht="17" customHeight="1">
      <c r="A74" s="44"/>
      <c r="B74" s="72" t="s">
        <v>122</v>
      </c>
      <c r="C74" s="46">
        <v>2</v>
      </c>
      <c r="D74" s="46"/>
      <c r="E74" s="46"/>
      <c r="F74" s="46"/>
      <c r="G74" s="73"/>
      <c r="H74" s="59">
        <f t="shared" ref="H74:H88" si="2401">SUM(I74:M74)</f>
        <v>0</v>
      </c>
      <c r="I74" s="59">
        <f t="shared" ref="I74:I88" si="2402">IF(D74="",G74*0.6,0)</f>
        <v>0</v>
      </c>
      <c r="J74" s="59">
        <f t="shared" ref="J74:J88" si="2403">IF(D74=2017,G74*0.7,0)</f>
        <v>0</v>
      </c>
      <c r="K74" s="59">
        <f t="shared" ref="K74:K88" si="2404">IF(D74=2018,G74*0.8,0)</f>
        <v>0</v>
      </c>
      <c r="L74" s="59">
        <f t="shared" ref="L74:L88" si="2405">IF(D74=2019,G74*0.9,0)</f>
        <v>0</v>
      </c>
      <c r="M74" s="59">
        <f t="shared" ref="M74:M88" si="2406">IF(D74=2020,G74*1,0)</f>
        <v>0</v>
      </c>
      <c r="N74" s="59"/>
      <c r="O74" s="59"/>
      <c r="P74" s="59">
        <f>L74*0.4+M74*0.6+N74*0.8+O74*1</f>
        <v>0</v>
      </c>
      <c r="Q74" s="59"/>
      <c r="R74" s="59"/>
      <c r="S74" s="59"/>
      <c r="T74" s="59"/>
      <c r="U74" s="59"/>
      <c r="V74" s="59">
        <f>H74/$H$9*134866+N74/$N$9*202299+P74/$P$9*100000+U74/$U$9*34867</f>
        <v>0</v>
      </c>
      <c r="W74" s="59"/>
      <c r="X74" s="62"/>
      <c r="Y74" s="62"/>
      <c r="Z74" s="62"/>
      <c r="AA74" s="59"/>
      <c r="AB74" s="59"/>
      <c r="AC74" s="59"/>
      <c r="AD74" s="59"/>
      <c r="AE74" s="59"/>
      <c r="AF74" s="59"/>
      <c r="AG74" s="59">
        <f>AF74</f>
        <v>0</v>
      </c>
      <c r="AH74" s="59">
        <f>AG74/$AG$9*40459.89</f>
        <v>0</v>
      </c>
      <c r="AI74" s="59"/>
      <c r="AJ74" s="59">
        <f>AI74</f>
        <v>0</v>
      </c>
      <c r="AK74" s="59">
        <f>AJ74/$AJ$9*40459.89</f>
        <v>0</v>
      </c>
      <c r="AL74" s="59"/>
      <c r="AM74" s="59"/>
      <c r="AN74" s="59"/>
      <c r="AO74" s="62"/>
      <c r="AP74" s="62"/>
      <c r="AQ74" s="59"/>
      <c r="AR74" s="59"/>
      <c r="AS74" s="59"/>
      <c r="AT74" s="189"/>
      <c r="AU74" s="59"/>
      <c r="AV74" s="59"/>
      <c r="AW74" s="59"/>
      <c r="AX74" s="59">
        <f>V74+AA74+AC74+AE74+AH74+AK74+AM74+AN74+AQ74+AS74+AU74+AW74</f>
        <v>0</v>
      </c>
      <c r="AY74" s="59"/>
      <c r="AZ74" s="170"/>
      <c r="BA74" s="50"/>
      <c r="BB74" s="43"/>
      <c r="BC74" s="50">
        <v>105</v>
      </c>
      <c r="BD74" s="50"/>
      <c r="BG74" s="340"/>
    </row>
    <row r="75" s="5" customFormat="1" ht="17" customHeight="1">
      <c r="A75" s="75"/>
      <c r="B75" s="76" t="s">
        <v>76</v>
      </c>
      <c r="C75" s="77">
        <v>3</v>
      </c>
      <c r="D75" s="77"/>
      <c r="E75" s="77"/>
      <c r="F75" s="78"/>
      <c r="G75" s="79">
        <f t="shared" ref="G75:P75" si="2407">SUM(G76:G88)</f>
        <v>819007</v>
      </c>
      <c r="H75" s="79">
        <f t="shared" si="2407"/>
        <v>673466.59999999998</v>
      </c>
      <c r="I75" s="79">
        <f t="shared" si="2407"/>
        <v>118389.60000000001</v>
      </c>
      <c r="J75" s="79">
        <f t="shared" si="2407"/>
        <v>23216.200000000001</v>
      </c>
      <c r="K75" s="79">
        <f t="shared" si="2407"/>
        <v>38713.599999999999</v>
      </c>
      <c r="L75" s="79">
        <f t="shared" si="2407"/>
        <v>422872.20000000001</v>
      </c>
      <c r="M75" s="79">
        <f t="shared" si="2407"/>
        <v>70275</v>
      </c>
      <c r="N75" s="79">
        <f t="shared" si="2407"/>
        <v>77031</v>
      </c>
      <c r="O75" s="79">
        <f t="shared" si="2407"/>
        <v>75806</v>
      </c>
      <c r="P75" s="79">
        <f t="shared" si="2407"/>
        <v>5923.1999999999998</v>
      </c>
      <c r="Q75" s="59">
        <v>9872</v>
      </c>
      <c r="R75" s="79">
        <f t="shared" ref="R75:V75" si="2408">SUM(R76:R88)</f>
        <v>0</v>
      </c>
      <c r="S75" s="79">
        <f t="shared" si="2408"/>
        <v>0</v>
      </c>
      <c r="T75" s="79">
        <f t="shared" si="2408"/>
        <v>0</v>
      </c>
      <c r="U75" s="79">
        <f t="shared" si="2408"/>
        <v>11924</v>
      </c>
      <c r="V75" s="79">
        <f t="shared" si="2408"/>
        <v>8811.5235679056805</v>
      </c>
      <c r="W75" s="79"/>
      <c r="X75" s="79">
        <f t="shared" ref="X75:AC75" si="2409">SUM(X76:X88)</f>
        <v>9.0653184917912206</v>
      </c>
      <c r="Y75" s="79">
        <f t="shared" si="2409"/>
        <v>63.921692040851902</v>
      </c>
      <c r="Z75" s="79">
        <f t="shared" si="2409"/>
        <v>49.253447888065601</v>
      </c>
      <c r="AA75" s="79">
        <f t="shared" si="2409"/>
        <v>3901.9046841607701</v>
      </c>
      <c r="AB75" s="79">
        <f t="shared" si="2409"/>
        <v>69842.210000000006</v>
      </c>
      <c r="AC75" s="79">
        <f t="shared" si="2409"/>
        <v>881.15152654652695</v>
      </c>
      <c r="AD75" s="79"/>
      <c r="AE75" s="79"/>
      <c r="AF75" s="79">
        <f t="shared" ref="AF75:AK75" si="2410">SUM(AF76:AF88)</f>
        <v>415</v>
      </c>
      <c r="AG75" s="79">
        <f t="shared" si="2410"/>
        <v>300</v>
      </c>
      <c r="AH75" s="79">
        <f t="shared" si="2410"/>
        <v>505.76943699731902</v>
      </c>
      <c r="AI75" s="79">
        <f t="shared" si="2410"/>
        <v>12.740524025349</v>
      </c>
      <c r="AJ75" s="79">
        <f t="shared" si="2410"/>
        <v>9.7935559326050008</v>
      </c>
      <c r="AK75" s="79">
        <f t="shared" si="2410"/>
        <v>668.28192524798305</v>
      </c>
      <c r="AL75" s="79"/>
      <c r="AM75" s="79"/>
      <c r="AN75" s="79">
        <f t="shared" ref="AN75:AU75" si="2411">SUM(AN76:AN88)</f>
        <v>6000</v>
      </c>
      <c r="AO75" s="79"/>
      <c r="AP75" s="79"/>
      <c r="AQ75" s="79">
        <f t="shared" si="2411"/>
        <v>0</v>
      </c>
      <c r="AR75" s="79"/>
      <c r="AS75" s="79">
        <f t="shared" si="2411"/>
        <v>0</v>
      </c>
      <c r="AT75" s="405">
        <f t="shared" si="2411"/>
        <v>8.8912596146842895e-002</v>
      </c>
      <c r="AU75" s="79">
        <f t="shared" si="2411"/>
        <v>531.16207112931602</v>
      </c>
      <c r="AV75" s="79"/>
      <c r="AW75" s="81"/>
      <c r="AX75" s="79">
        <f t="shared" ref="AX75:BA75" si="2412">SUM(AX76:AX88)</f>
        <v>21301</v>
      </c>
      <c r="AY75" s="79">
        <v>25969</v>
      </c>
      <c r="AZ75" s="79">
        <f t="shared" si="2412"/>
        <v>24305.5158321171</v>
      </c>
      <c r="BA75" s="79">
        <f t="shared" si="2412"/>
        <v>-3004.5158321171102</v>
      </c>
      <c r="BB75" s="337">
        <f t="shared" si="2263"/>
        <v>-0.123614567691954</v>
      </c>
      <c r="BC75" s="406">
        <v>301</v>
      </c>
      <c r="BD75" s="79">
        <f>SUM(BD76:BD88)</f>
        <v>-2703.5158321171002</v>
      </c>
      <c r="BG75" s="340"/>
    </row>
    <row r="76" ht="17" customHeight="1">
      <c r="A76" s="46">
        <v>44</v>
      </c>
      <c r="B76" s="82" t="s">
        <v>123</v>
      </c>
      <c r="C76" s="46" t="s">
        <v>78</v>
      </c>
      <c r="D76" s="46"/>
      <c r="E76" s="46"/>
      <c r="F76" s="46"/>
      <c r="G76" s="73">
        <v>11957</v>
      </c>
      <c r="H76" s="59">
        <f t="shared" si="2401"/>
        <v>7174.1999999999998</v>
      </c>
      <c r="I76" s="59">
        <f t="shared" si="2402"/>
        <v>7174.1999999999998</v>
      </c>
      <c r="J76" s="59">
        <f t="shared" si="2403"/>
        <v>0</v>
      </c>
      <c r="K76" s="59">
        <f t="shared" si="2404"/>
        <v>0</v>
      </c>
      <c r="L76" s="59">
        <f t="shared" si="2405"/>
        <v>0</v>
      </c>
      <c r="M76" s="59">
        <f t="shared" si="2406"/>
        <v>0</v>
      </c>
      <c r="N76" s="59">
        <v>1492</v>
      </c>
      <c r="O76" s="59">
        <v>2096</v>
      </c>
      <c r="P76" s="59">
        <f t="shared" ref="P76:P88" si="2413">Q76*0.6+R76*0.8+S76*1+T76*1.25</f>
        <v>611.39999999999998</v>
      </c>
      <c r="Q76" s="59">
        <v>1019</v>
      </c>
      <c r="R76" s="59"/>
      <c r="S76" s="59"/>
      <c r="T76" s="59"/>
      <c r="U76" s="59">
        <v>412</v>
      </c>
      <c r="V76" s="59">
        <f t="shared" ref="V76:V88" si="2414">H76/$H$9*298699*0.12+N76/$N$9*298699*0.15+P76/$P$9*298699*0.035+U76/$U$9*298699*0.025</f>
        <v>154.47438275527699</v>
      </c>
      <c r="W76" s="59">
        <v>10335.940000000001</v>
      </c>
      <c r="X76" s="62">
        <f t="shared" ref="X76:X88" si="2415">($W$64-W76)/($W$64-$W$44)</f>
        <v>0.85889669550848602</v>
      </c>
      <c r="Y76" s="62">
        <f t="shared" ref="Y76:Y88" si="2416">(G76+N76)*X76/10000</f>
        <v>1.15513016578936</v>
      </c>
      <c r="Z76" s="62">
        <f t="shared" ref="Z76:Z79" si="2417">Y76*0.2</f>
        <v>0.23102603315787301</v>
      </c>
      <c r="AA76" s="59">
        <f t="shared" ref="AA76:AA88" si="2418">Z76/$Z$9*298699*0.12</f>
        <v>18.302100656799102</v>
      </c>
      <c r="AB76" s="59">
        <v>1648.5</v>
      </c>
      <c r="AC76" s="59">
        <f t="shared" ref="AC76:AC88" si="2419">(AB76/$AB$9*298699*0.03)</f>
        <v>20.7980001135696</v>
      </c>
      <c r="AD76" s="59"/>
      <c r="AE76" s="59"/>
      <c r="AF76" s="59">
        <v>5</v>
      </c>
      <c r="AG76" s="59">
        <f t="shared" ref="AG76:AG79" si="2420">AF76*0.5</f>
        <v>2.5</v>
      </c>
      <c r="AH76" s="59">
        <f t="shared" ref="AH76:AH88" si="2421">AG76/$AG$9*298699*0.02</f>
        <v>4.2147453083109898</v>
      </c>
      <c r="AI76" s="59">
        <v>1</v>
      </c>
      <c r="AJ76" s="59">
        <f t="shared" ref="AJ76:AJ79" si="2422">AI76*0.5</f>
        <v>0.5</v>
      </c>
      <c r="AK76" s="59">
        <f t="shared" ref="AK76:AK88" si="2423">AJ76/$AJ$9*298699*0.02</f>
        <v>34.118451451485498</v>
      </c>
      <c r="AL76" s="338"/>
      <c r="AM76" s="59"/>
      <c r="AN76" s="59"/>
      <c r="AO76" s="62"/>
      <c r="AP76" s="62"/>
      <c r="AQ76" s="59"/>
      <c r="AR76" s="59"/>
      <c r="AS76" s="59"/>
      <c r="AT76" s="189">
        <f>VLOOKUP(B:B,综合进度!B:N,13,0)</f>
        <v>3.1333832206973601e-003</v>
      </c>
      <c r="AU76" s="59">
        <f t="shared" ref="AU76:AU88" si="2424">AT76/$AT$9*298699*0.02</f>
        <v>18.718768692781602</v>
      </c>
      <c r="AV76" s="59"/>
      <c r="AW76" s="59"/>
      <c r="AX76" s="59">
        <f t="shared" ref="AX76:AX88" si="2425">ROUND(V76+AA76+AC76+AN76+AQ76+AS76+AU76+AW76+AH76+AK76,0)</f>
        <v>251</v>
      </c>
      <c r="AY76" s="59">
        <v>207</v>
      </c>
      <c r="AZ76" s="59">
        <f t="shared" ref="AZ76:AZ88" si="2426">AY76/$AY$9*280243</f>
        <v>193.74029717156</v>
      </c>
      <c r="BA76" s="59">
        <f t="shared" ref="BA76:BA88" si="2427">AX76-AZ76</f>
        <v>57.259702828439998</v>
      </c>
      <c r="BB76" s="43">
        <f t="shared" si="2263"/>
        <v>0.29554875090201599</v>
      </c>
      <c r="BC76" s="50">
        <v>1063</v>
      </c>
      <c r="BD76" s="50">
        <f t="shared" ref="BD76:BD88" si="2428">BC76+BA76</f>
        <v>1120.2597028284399</v>
      </c>
      <c r="BG76" s="340"/>
    </row>
    <row r="77" ht="17" customHeight="1">
      <c r="A77" s="46">
        <v>45</v>
      </c>
      <c r="B77" s="82" t="s">
        <v>124</v>
      </c>
      <c r="C77" s="46" t="s">
        <v>78</v>
      </c>
      <c r="D77" s="46"/>
      <c r="E77" s="46"/>
      <c r="F77" s="46"/>
      <c r="G77" s="73">
        <v>22408</v>
      </c>
      <c r="H77" s="59">
        <f t="shared" si="2401"/>
        <v>13444.799999999999</v>
      </c>
      <c r="I77" s="59">
        <f t="shared" si="2402"/>
        <v>13444.799999999999</v>
      </c>
      <c r="J77" s="59">
        <f t="shared" si="2403"/>
        <v>0</v>
      </c>
      <c r="K77" s="59">
        <f t="shared" si="2404"/>
        <v>0</v>
      </c>
      <c r="L77" s="59">
        <f t="shared" si="2405"/>
        <v>0</v>
      </c>
      <c r="M77" s="59">
        <f t="shared" si="2406"/>
        <v>0</v>
      </c>
      <c r="N77" s="59">
        <v>1405</v>
      </c>
      <c r="O77" s="59">
        <v>1046</v>
      </c>
      <c r="P77" s="59">
        <f t="shared" si="2413"/>
        <v>0</v>
      </c>
      <c r="Q77" s="59"/>
      <c r="R77" s="59"/>
      <c r="S77" s="59"/>
      <c r="T77" s="59"/>
      <c r="U77" s="59">
        <v>663</v>
      </c>
      <c r="V77" s="59">
        <f t="shared" si="2414"/>
        <v>188.06710214718299</v>
      </c>
      <c r="W77" s="59">
        <v>11774.280000000001</v>
      </c>
      <c r="X77" s="62">
        <f t="shared" si="2415"/>
        <v>0.62679481428170303</v>
      </c>
      <c r="Y77" s="62">
        <f t="shared" si="2416"/>
        <v>1.4925864912490201</v>
      </c>
      <c r="Z77" s="62">
        <f t="shared" si="2417"/>
        <v>0.298517298249804</v>
      </c>
      <c r="AA77" s="59">
        <f t="shared" si="2418"/>
        <v>23.648822453832</v>
      </c>
      <c r="AB77" s="59">
        <v>918.38</v>
      </c>
      <c r="AC77" s="59">
        <f t="shared" si="2419"/>
        <v>11.5865740638763</v>
      </c>
      <c r="AD77" s="59"/>
      <c r="AE77" s="59"/>
      <c r="AF77" s="59">
        <v>19</v>
      </c>
      <c r="AG77" s="59">
        <f t="shared" si="2420"/>
        <v>9.5</v>
      </c>
      <c r="AH77" s="59">
        <f t="shared" si="2421"/>
        <v>16.016032171581799</v>
      </c>
      <c r="AI77" s="59">
        <v>0.99013848090641998</v>
      </c>
      <c r="AJ77" s="59">
        <f t="shared" si="2422"/>
        <v>0.49506924045320999</v>
      </c>
      <c r="AK77" s="59">
        <f t="shared" si="2423"/>
        <v>33.7819916910533</v>
      </c>
      <c r="AL77" s="338"/>
      <c r="AM77" s="59"/>
      <c r="AN77" s="59"/>
      <c r="AO77" s="62"/>
      <c r="AP77" s="62"/>
      <c r="AQ77" s="59"/>
      <c r="AR77" s="59"/>
      <c r="AS77" s="59"/>
      <c r="AT77" s="189">
        <f>VLOOKUP(B:B,综合进度!B:N,13,0)</f>
        <v>3.0622724304750302e-003</v>
      </c>
      <c r="AU77" s="59">
        <f t="shared" si="2424"/>
        <v>18.293954254209201</v>
      </c>
      <c r="AV77" s="59"/>
      <c r="AW77" s="59"/>
      <c r="AX77" s="59">
        <f t="shared" si="2425"/>
        <v>291</v>
      </c>
      <c r="AY77" s="59">
        <v>256</v>
      </c>
      <c r="AZ77" s="59">
        <f t="shared" si="2426"/>
        <v>239.601526936808</v>
      </c>
      <c r="BA77" s="59">
        <f t="shared" si="2427"/>
        <v>51.398473063191503</v>
      </c>
      <c r="BB77" s="43">
        <f t="shared" si="2263"/>
        <v>0.21451646707054201</v>
      </c>
      <c r="BC77" s="50">
        <v>934</v>
      </c>
      <c r="BD77" s="50">
        <f t="shared" si="2428"/>
        <v>985.398473063192</v>
      </c>
      <c r="BG77" s="340"/>
    </row>
    <row r="78" ht="17" customHeight="1">
      <c r="A78" s="46">
        <v>46</v>
      </c>
      <c r="B78" s="82" t="s">
        <v>125</v>
      </c>
      <c r="C78" s="46" t="s">
        <v>78</v>
      </c>
      <c r="D78" s="46"/>
      <c r="E78" s="46"/>
      <c r="F78" s="46"/>
      <c r="G78" s="73">
        <v>58704</v>
      </c>
      <c r="H78" s="59">
        <f t="shared" si="2401"/>
        <v>35222.400000000001</v>
      </c>
      <c r="I78" s="59">
        <f t="shared" si="2402"/>
        <v>35222.400000000001</v>
      </c>
      <c r="J78" s="59">
        <f t="shared" si="2403"/>
        <v>0</v>
      </c>
      <c r="K78" s="59">
        <f t="shared" si="2404"/>
        <v>0</v>
      </c>
      <c r="L78" s="59">
        <f t="shared" si="2405"/>
        <v>0</v>
      </c>
      <c r="M78" s="59">
        <f t="shared" si="2406"/>
        <v>0</v>
      </c>
      <c r="N78" s="59">
        <v>3357</v>
      </c>
      <c r="O78" s="59">
        <v>2836</v>
      </c>
      <c r="P78" s="59">
        <f t="shared" si="2413"/>
        <v>0</v>
      </c>
      <c r="Q78" s="59"/>
      <c r="R78" s="59"/>
      <c r="S78" s="59"/>
      <c r="T78" s="59"/>
      <c r="U78" s="59">
        <v>734</v>
      </c>
      <c r="V78" s="59">
        <f t="shared" si="2414"/>
        <v>425.73545680733798</v>
      </c>
      <c r="W78" s="59">
        <v>11660.549999999999</v>
      </c>
      <c r="X78" s="62">
        <f t="shared" si="2415"/>
        <v>0.64514718364633294</v>
      </c>
      <c r="Y78" s="62">
        <f t="shared" si="2416"/>
        <v>4.0038479364275101</v>
      </c>
      <c r="Z78" s="62">
        <f t="shared" si="2417"/>
        <v>0.80076958728550196</v>
      </c>
      <c r="AA78" s="59">
        <f t="shared" si="2418"/>
        <v>63.437723398850302</v>
      </c>
      <c r="AB78" s="59">
        <v>1617</v>
      </c>
      <c r="AC78" s="59">
        <f t="shared" si="2419"/>
        <v>20.4005860986606</v>
      </c>
      <c r="AD78" s="59"/>
      <c r="AE78" s="59"/>
      <c r="AF78" s="59">
        <v>44</v>
      </c>
      <c r="AG78" s="59">
        <f t="shared" si="2420"/>
        <v>22</v>
      </c>
      <c r="AH78" s="59">
        <f t="shared" si="2421"/>
        <v>37.089758713136703</v>
      </c>
      <c r="AI78" s="59">
        <v>1</v>
      </c>
      <c r="AJ78" s="59">
        <f t="shared" si="2422"/>
        <v>0.5</v>
      </c>
      <c r="AK78" s="59">
        <f t="shared" si="2423"/>
        <v>34.118451451485498</v>
      </c>
      <c r="AL78" s="338"/>
      <c r="AM78" s="59"/>
      <c r="AN78" s="59"/>
      <c r="AO78" s="62"/>
      <c r="AP78" s="62"/>
      <c r="AQ78" s="59"/>
      <c r="AR78" s="59"/>
      <c r="AS78" s="59"/>
      <c r="AT78" s="189">
        <f>VLOOKUP(B:B,综合进度!B:N,13,0)</f>
        <v>4.1704552346773904e-003</v>
      </c>
      <c r="AU78" s="59">
        <f t="shared" si="2424"/>
        <v>24.914216162858001</v>
      </c>
      <c r="AV78" s="59"/>
      <c r="AW78" s="59"/>
      <c r="AX78" s="59">
        <f t="shared" si="2425"/>
        <v>606</v>
      </c>
      <c r="AY78" s="59">
        <v>420</v>
      </c>
      <c r="AZ78" s="59">
        <f t="shared" si="2426"/>
        <v>393.09625513070102</v>
      </c>
      <c r="BA78" s="59">
        <f t="shared" si="2427"/>
        <v>212.903744869299</v>
      </c>
      <c r="BB78" s="43">
        <f t="shared" si="2263"/>
        <v>0.54160715623838696</v>
      </c>
      <c r="BC78" s="50">
        <v>1316</v>
      </c>
      <c r="BD78" s="50">
        <f t="shared" si="2428"/>
        <v>1528.9037448693</v>
      </c>
      <c r="BG78" s="340"/>
    </row>
    <row r="79" ht="17" customHeight="1">
      <c r="A79" s="46">
        <v>47</v>
      </c>
      <c r="B79" s="82" t="s">
        <v>127</v>
      </c>
      <c r="C79" s="46" t="s">
        <v>78</v>
      </c>
      <c r="D79" s="46"/>
      <c r="E79" s="46"/>
      <c r="F79" s="46"/>
      <c r="G79" s="73">
        <v>48521</v>
      </c>
      <c r="H79" s="59">
        <f t="shared" si="2401"/>
        <v>29112.599999999999</v>
      </c>
      <c r="I79" s="59">
        <f t="shared" si="2402"/>
        <v>29112.599999999999</v>
      </c>
      <c r="J79" s="59">
        <f t="shared" si="2403"/>
        <v>0</v>
      </c>
      <c r="K79" s="59">
        <f t="shared" si="2404"/>
        <v>0</v>
      </c>
      <c r="L79" s="59">
        <f t="shared" si="2405"/>
        <v>0</v>
      </c>
      <c r="M79" s="59">
        <f t="shared" si="2406"/>
        <v>0</v>
      </c>
      <c r="N79" s="59">
        <v>3812</v>
      </c>
      <c r="O79" s="59">
        <v>1464</v>
      </c>
      <c r="P79" s="59">
        <f t="shared" si="2413"/>
        <v>0</v>
      </c>
      <c r="Q79" s="59"/>
      <c r="R79" s="59"/>
      <c r="S79" s="59"/>
      <c r="T79" s="59"/>
      <c r="U79" s="59">
        <v>1220</v>
      </c>
      <c r="V79" s="59">
        <f t="shared" si="2414"/>
        <v>434.76351911702801</v>
      </c>
      <c r="W79" s="59">
        <v>11061.799999999999</v>
      </c>
      <c r="X79" s="62">
        <f t="shared" si="2415"/>
        <v>0.741766203755999</v>
      </c>
      <c r="Y79" s="62">
        <f t="shared" si="2416"/>
        <v>3.88188507411627</v>
      </c>
      <c r="Z79" s="62">
        <f t="shared" si="2417"/>
        <v>0.77637701482325405</v>
      </c>
      <c r="AA79" s="59">
        <f t="shared" si="2418"/>
        <v>61.505320758420297</v>
      </c>
      <c r="AB79" s="59">
        <v>2514.3000000000002</v>
      </c>
      <c r="AC79" s="59">
        <f t="shared" si="2419"/>
        <v>31.721208180496198</v>
      </c>
      <c r="AD79" s="59"/>
      <c r="AE79" s="59"/>
      <c r="AF79" s="59">
        <v>92</v>
      </c>
      <c r="AG79" s="59">
        <f t="shared" si="2420"/>
        <v>46</v>
      </c>
      <c r="AH79" s="59">
        <f t="shared" si="2421"/>
        <v>77.551313672922305</v>
      </c>
      <c r="AI79" s="59">
        <v>1</v>
      </c>
      <c r="AJ79" s="59">
        <f t="shared" si="2422"/>
        <v>0.5</v>
      </c>
      <c r="AK79" s="59">
        <f t="shared" si="2423"/>
        <v>34.118451451485498</v>
      </c>
      <c r="AL79" s="338"/>
      <c r="AM79" s="59"/>
      <c r="AN79" s="59"/>
      <c r="AO79" s="62"/>
      <c r="AP79" s="62"/>
      <c r="AQ79" s="59"/>
      <c r="AR79" s="59"/>
      <c r="AS79" s="59"/>
      <c r="AT79" s="189">
        <f>VLOOKUP(B:B,综合进度!B:N,13,0)</f>
        <v>2.3567534881043001e-003</v>
      </c>
      <c r="AU79" s="59">
        <f t="shared" si="2424"/>
        <v>14.0791982028653</v>
      </c>
      <c r="AV79" s="59"/>
      <c r="AW79" s="59"/>
      <c r="AX79" s="59">
        <f t="shared" si="2425"/>
        <v>654</v>
      </c>
      <c r="AY79" s="59">
        <v>402</v>
      </c>
      <c r="AZ79" s="59">
        <f t="shared" si="2426"/>
        <v>376.249272767957</v>
      </c>
      <c r="BA79" s="59">
        <f t="shared" si="2427"/>
        <v>277.750727232043</v>
      </c>
      <c r="BB79" s="43">
        <f t="shared" si="2263"/>
        <v>0.73820933975157299</v>
      </c>
      <c r="BC79" s="50">
        <v>1915</v>
      </c>
      <c r="BD79" s="50">
        <f t="shared" si="2428"/>
        <v>2192.7507272320399</v>
      </c>
      <c r="BG79" s="340"/>
    </row>
    <row r="80" ht="17" customHeight="1">
      <c r="A80" s="46">
        <v>48</v>
      </c>
      <c r="B80" s="82" t="s">
        <v>128</v>
      </c>
      <c r="C80" s="46" t="s">
        <v>90</v>
      </c>
      <c r="D80" s="46">
        <v>2017</v>
      </c>
      <c r="E80" s="46"/>
      <c r="F80" s="46"/>
      <c r="G80" s="73">
        <v>33166</v>
      </c>
      <c r="H80" s="59">
        <f t="shared" si="2401"/>
        <v>23216.200000000001</v>
      </c>
      <c r="I80" s="59">
        <f t="shared" si="2402"/>
        <v>0</v>
      </c>
      <c r="J80" s="59">
        <f t="shared" si="2403"/>
        <v>23216.200000000001</v>
      </c>
      <c r="K80" s="59">
        <f t="shared" si="2404"/>
        <v>0</v>
      </c>
      <c r="L80" s="59">
        <f t="shared" si="2405"/>
        <v>0</v>
      </c>
      <c r="M80" s="59">
        <f t="shared" si="2406"/>
        <v>0</v>
      </c>
      <c r="N80" s="59">
        <v>2207</v>
      </c>
      <c r="O80" s="59">
        <v>2719</v>
      </c>
      <c r="P80" s="59">
        <f t="shared" si="2413"/>
        <v>0</v>
      </c>
      <c r="Q80" s="59"/>
      <c r="R80" s="59"/>
      <c r="S80" s="59"/>
      <c r="T80" s="59"/>
      <c r="U80" s="59">
        <v>825</v>
      </c>
      <c r="V80" s="59">
        <f t="shared" si="2414"/>
        <v>297.60742802886199</v>
      </c>
      <c r="W80" s="59">
        <v>12729.27</v>
      </c>
      <c r="X80" s="62">
        <f t="shared" si="2415"/>
        <v>0.47269009943488999</v>
      </c>
      <c r="Y80" s="62">
        <f t="shared" si="2416"/>
        <v>1.6720466887310399</v>
      </c>
      <c r="Z80" s="62">
        <f>Y80*0.5</f>
        <v>0.83602334436551795</v>
      </c>
      <c r="AA80" s="59">
        <f t="shared" si="2418"/>
        <v>66.230559348069406</v>
      </c>
      <c r="AB80" s="59">
        <v>2510.4771999999998</v>
      </c>
      <c r="AC80" s="59">
        <f t="shared" si="2419"/>
        <v>31.672978520299601</v>
      </c>
      <c r="AD80" s="59"/>
      <c r="AE80" s="59"/>
      <c r="AF80" s="59">
        <v>4</v>
      </c>
      <c r="AG80" s="59">
        <f t="shared" ref="AG80:AG83" si="2429">AF80</f>
        <v>4</v>
      </c>
      <c r="AH80" s="59">
        <f t="shared" si="2421"/>
        <v>6.7435924932975899</v>
      </c>
      <c r="AI80" s="59">
        <v>1</v>
      </c>
      <c r="AJ80" s="59">
        <f t="shared" ref="AJ80:AJ83" si="2430">AI80</f>
        <v>1</v>
      </c>
      <c r="AK80" s="59">
        <f t="shared" si="2423"/>
        <v>68.236902902970996</v>
      </c>
      <c r="AL80" s="338"/>
      <c r="AM80" s="59"/>
      <c r="AN80" s="59"/>
      <c r="AO80" s="62"/>
      <c r="AP80" s="62"/>
      <c r="AQ80" s="59"/>
      <c r="AR80" s="59"/>
      <c r="AS80" s="59"/>
      <c r="AT80" s="189">
        <f>VLOOKUP(B:B,综合进度!B:N,13,0)</f>
        <v>3.24055323985558e-003</v>
      </c>
      <c r="AU80" s="59">
        <f t="shared" si="2424"/>
        <v>19.359000243832401</v>
      </c>
      <c r="AV80" s="59"/>
      <c r="AW80" s="59"/>
      <c r="AX80" s="59">
        <f t="shared" si="2425"/>
        <v>490</v>
      </c>
      <c r="AY80" s="59">
        <v>378</v>
      </c>
      <c r="AZ80" s="59">
        <f t="shared" si="2426"/>
        <v>353.78662961763098</v>
      </c>
      <c r="BA80" s="59">
        <f t="shared" si="2427"/>
        <v>136.21337038236899</v>
      </c>
      <c r="BB80" s="43">
        <f t="shared" si="2263"/>
        <v>0.38501559691384202</v>
      </c>
      <c r="BC80" s="50">
        <v>1536</v>
      </c>
      <c r="BD80" s="50">
        <f t="shared" si="2428"/>
        <v>1672.2133703823699</v>
      </c>
      <c r="BG80" s="340"/>
    </row>
    <row r="81" ht="17" customHeight="1">
      <c r="A81" s="46">
        <v>49</v>
      </c>
      <c r="B81" s="82" t="s">
        <v>129</v>
      </c>
      <c r="C81" s="46" t="s">
        <v>78</v>
      </c>
      <c r="D81" s="46"/>
      <c r="E81" s="46"/>
      <c r="F81" s="46"/>
      <c r="G81" s="73">
        <v>42543</v>
      </c>
      <c r="H81" s="59">
        <f t="shared" si="2401"/>
        <v>25525.799999999999</v>
      </c>
      <c r="I81" s="59">
        <f t="shared" si="2402"/>
        <v>25525.799999999999</v>
      </c>
      <c r="J81" s="59">
        <f t="shared" si="2403"/>
        <v>0</v>
      </c>
      <c r="K81" s="59">
        <f t="shared" si="2404"/>
        <v>0</v>
      </c>
      <c r="L81" s="59">
        <f t="shared" si="2405"/>
        <v>0</v>
      </c>
      <c r="M81" s="59">
        <f t="shared" si="2406"/>
        <v>0</v>
      </c>
      <c r="N81" s="59">
        <v>5469</v>
      </c>
      <c r="O81" s="59">
        <v>2092</v>
      </c>
      <c r="P81" s="59">
        <f t="shared" si="2413"/>
        <v>546.60000000000002</v>
      </c>
      <c r="Q81" s="59">
        <v>911</v>
      </c>
      <c r="R81" s="59"/>
      <c r="S81" s="59"/>
      <c r="T81" s="59"/>
      <c r="U81" s="59">
        <v>1055</v>
      </c>
      <c r="V81" s="59">
        <f t="shared" si="2414"/>
        <v>499.29404554767802</v>
      </c>
      <c r="W81" s="59">
        <v>11208.040000000001</v>
      </c>
      <c r="X81" s="62">
        <f t="shared" si="2415"/>
        <v>0.71816776450616604</v>
      </c>
      <c r="Y81" s="62">
        <f t="shared" si="2416"/>
        <v>3.4480670709469998</v>
      </c>
      <c r="Z81" s="62">
        <f>Y81*0.2</f>
        <v>0.68961341418940103</v>
      </c>
      <c r="AA81" s="59">
        <f t="shared" si="2418"/>
        <v>54.631826328197498</v>
      </c>
      <c r="AB81" s="59">
        <v>3855.0500000000002</v>
      </c>
      <c r="AC81" s="59">
        <f t="shared" si="2419"/>
        <v>48.6365364499948</v>
      </c>
      <c r="AD81" s="59"/>
      <c r="AE81" s="59"/>
      <c r="AF81" s="59">
        <v>56</v>
      </c>
      <c r="AG81" s="59">
        <f>AF81*0.5</f>
        <v>28</v>
      </c>
      <c r="AH81" s="59">
        <f t="shared" si="2421"/>
        <v>47.2051474530831</v>
      </c>
      <c r="AI81" s="59">
        <v>0.90379770458150599</v>
      </c>
      <c r="AJ81" s="59">
        <f>AI81*0.5</f>
        <v>0.45189885229075299</v>
      </c>
      <c r="AK81" s="59">
        <f t="shared" si="2423"/>
        <v>30.836178105728099</v>
      </c>
      <c r="AL81" s="338"/>
      <c r="AM81" s="59"/>
      <c r="AN81" s="59"/>
      <c r="AO81" s="62"/>
      <c r="AP81" s="62"/>
      <c r="AQ81" s="59"/>
      <c r="AR81" s="59"/>
      <c r="AS81" s="59"/>
      <c r="AT81" s="189">
        <f>VLOOKUP(B:B,综合进度!B:N,13,0)</f>
        <v>3.6023700779993298e-003</v>
      </c>
      <c r="AU81" s="59">
        <f t="shared" si="2424"/>
        <v>21.520486798566399</v>
      </c>
      <c r="AV81" s="59"/>
      <c r="AW81" s="59"/>
      <c r="AX81" s="59">
        <f t="shared" si="2425"/>
        <v>702</v>
      </c>
      <c r="AY81" s="59">
        <v>466</v>
      </c>
      <c r="AZ81" s="59">
        <f t="shared" si="2426"/>
        <v>436.14965450215902</v>
      </c>
      <c r="BA81" s="59">
        <f t="shared" si="2427"/>
        <v>265.85034549784098</v>
      </c>
      <c r="BB81" s="43">
        <f t="shared" si="2263"/>
        <v>0.60953927798313701</v>
      </c>
      <c r="BC81" s="50">
        <v>2146</v>
      </c>
      <c r="BD81" s="50">
        <f t="shared" si="2428"/>
        <v>2411.85034549784</v>
      </c>
      <c r="BG81" s="340"/>
    </row>
    <row r="82" ht="17" customHeight="1">
      <c r="A82" s="46">
        <v>50</v>
      </c>
      <c r="B82" s="82" t="s">
        <v>130</v>
      </c>
      <c r="C82" s="46" t="s">
        <v>90</v>
      </c>
      <c r="D82" s="46">
        <v>2018</v>
      </c>
      <c r="E82" s="46"/>
      <c r="F82" s="46"/>
      <c r="G82" s="73">
        <v>48392</v>
      </c>
      <c r="H82" s="59">
        <f t="shared" si="2401"/>
        <v>38713.599999999999</v>
      </c>
      <c r="I82" s="59">
        <f t="shared" si="2402"/>
        <v>0</v>
      </c>
      <c r="J82" s="59">
        <f t="shared" si="2403"/>
        <v>0</v>
      </c>
      <c r="K82" s="59">
        <f t="shared" si="2404"/>
        <v>38713.599999999999</v>
      </c>
      <c r="L82" s="59">
        <f t="shared" si="2405"/>
        <v>0</v>
      </c>
      <c r="M82" s="59">
        <f t="shared" si="2406"/>
        <v>0</v>
      </c>
      <c r="N82" s="59">
        <v>5957</v>
      </c>
      <c r="O82" s="59">
        <v>2929</v>
      </c>
      <c r="P82" s="59">
        <f t="shared" si="2413"/>
        <v>0</v>
      </c>
      <c r="Q82" s="59"/>
      <c r="R82" s="59"/>
      <c r="S82" s="59"/>
      <c r="T82" s="59"/>
      <c r="U82" s="59">
        <v>0</v>
      </c>
      <c r="V82" s="59">
        <f t="shared" si="2414"/>
        <v>540.34992112839598</v>
      </c>
      <c r="W82" s="59">
        <v>11556.799999999999</v>
      </c>
      <c r="X82" s="62">
        <f t="shared" si="2415"/>
        <v>0.66188910153589997</v>
      </c>
      <c r="Y82" s="62">
        <f t="shared" si="2416"/>
        <v>3.5973010779374599</v>
      </c>
      <c r="Z82" s="62">
        <f>Y82*0.5</f>
        <v>1.79865053896873</v>
      </c>
      <c r="AA82" s="59">
        <f t="shared" si="2418"/>
        <v>142.49079534736401</v>
      </c>
      <c r="AB82" s="59">
        <v>5715.8000000000002</v>
      </c>
      <c r="AC82" s="59">
        <f t="shared" si="2419"/>
        <v>72.112350044974804</v>
      </c>
      <c r="AD82" s="59"/>
      <c r="AE82" s="59"/>
      <c r="AF82" s="59">
        <v>43</v>
      </c>
      <c r="AG82" s="59">
        <f t="shared" si="2429"/>
        <v>43</v>
      </c>
      <c r="AH82" s="59">
        <f t="shared" si="2421"/>
        <v>72.493619302949099</v>
      </c>
      <c r="AI82" s="59">
        <v>1</v>
      </c>
      <c r="AJ82" s="59">
        <f t="shared" si="2430"/>
        <v>1</v>
      </c>
      <c r="AK82" s="59">
        <f t="shared" si="2423"/>
        <v>68.236902902970996</v>
      </c>
      <c r="AL82" s="338"/>
      <c r="AM82" s="59"/>
      <c r="AN82" s="59"/>
      <c r="AO82" s="62"/>
      <c r="AP82" s="62"/>
      <c r="AQ82" s="59"/>
      <c r="AR82" s="59"/>
      <c r="AS82" s="59"/>
      <c r="AT82" s="189">
        <f>VLOOKUP(B:B,综合进度!B:N,13,0)</f>
        <v>2.1386795094363998e-003</v>
      </c>
      <c r="AU82" s="59">
        <f t="shared" si="2424"/>
        <v>12.776428615782899</v>
      </c>
      <c r="AV82" s="59"/>
      <c r="AW82" s="59"/>
      <c r="AX82" s="59">
        <f t="shared" si="2425"/>
        <v>908</v>
      </c>
      <c r="AY82" s="59">
        <v>749</v>
      </c>
      <c r="AZ82" s="59">
        <f t="shared" si="2426"/>
        <v>701.02165498308398</v>
      </c>
      <c r="BA82" s="59">
        <f t="shared" si="2427"/>
        <v>206.97834501691599</v>
      </c>
      <c r="BB82" s="43">
        <f t="shared" si="2263"/>
        <v>0.29525242700513998</v>
      </c>
      <c r="BC82" s="50">
        <v>2688</v>
      </c>
      <c r="BD82" s="50">
        <f t="shared" si="2428"/>
        <v>2894.9783450169198</v>
      </c>
      <c r="BG82" s="340"/>
    </row>
    <row r="83" ht="17" customHeight="1">
      <c r="A83" s="46">
        <v>51</v>
      </c>
      <c r="B83" s="82" t="s">
        <v>126</v>
      </c>
      <c r="C83" s="46" t="s">
        <v>90</v>
      </c>
      <c r="D83" s="46">
        <v>2020</v>
      </c>
      <c r="E83" s="46" t="s">
        <v>91</v>
      </c>
      <c r="F83" s="46"/>
      <c r="G83" s="73">
        <v>70275</v>
      </c>
      <c r="H83" s="59">
        <f t="shared" si="2401"/>
        <v>70275</v>
      </c>
      <c r="I83" s="59">
        <f t="shared" si="2402"/>
        <v>0</v>
      </c>
      <c r="J83" s="59">
        <f t="shared" si="2403"/>
        <v>0</v>
      </c>
      <c r="K83" s="59">
        <f t="shared" si="2404"/>
        <v>0</v>
      </c>
      <c r="L83" s="59">
        <f t="shared" si="2405"/>
        <v>0</v>
      </c>
      <c r="M83" s="59">
        <f t="shared" si="2406"/>
        <v>70275</v>
      </c>
      <c r="N83" s="59">
        <v>3982</v>
      </c>
      <c r="O83" s="59">
        <v>10471</v>
      </c>
      <c r="P83" s="59">
        <f t="shared" si="2413"/>
        <v>2007.5999999999999</v>
      </c>
      <c r="Q83" s="59">
        <v>3346</v>
      </c>
      <c r="R83" s="59"/>
      <c r="S83" s="59"/>
      <c r="T83" s="59"/>
      <c r="U83" s="59">
        <v>52</v>
      </c>
      <c r="V83" s="59">
        <f t="shared" si="2414"/>
        <v>688.48937676511196</v>
      </c>
      <c r="W83" s="59">
        <v>11381.030000000001</v>
      </c>
      <c r="X83" s="62">
        <f t="shared" si="2415"/>
        <v>0.69025273437878198</v>
      </c>
      <c r="Y83" s="62">
        <f t="shared" si="2416"/>
        <v>5.12560972967652</v>
      </c>
      <c r="Z83" s="62">
        <f t="shared" ref="Z83:Z88" si="2431">Y83*1</f>
        <v>5.12560972967652</v>
      </c>
      <c r="AA83" s="59">
        <f t="shared" si="2418"/>
        <v>406.05564627387002</v>
      </c>
      <c r="AB83" s="59">
        <v>3088.6799999999998</v>
      </c>
      <c r="AC83" s="59">
        <f t="shared" si="2419"/>
        <v>38.967768875207803</v>
      </c>
      <c r="AD83" s="59"/>
      <c r="AE83" s="59"/>
      <c r="AF83" s="59">
        <v>15</v>
      </c>
      <c r="AG83" s="59">
        <f t="shared" si="2429"/>
        <v>15</v>
      </c>
      <c r="AH83" s="59">
        <f t="shared" si="2421"/>
        <v>25.2884718498659</v>
      </c>
      <c r="AI83" s="59">
        <v>1</v>
      </c>
      <c r="AJ83" s="59">
        <f t="shared" si="2430"/>
        <v>1</v>
      </c>
      <c r="AK83" s="59">
        <f t="shared" si="2423"/>
        <v>68.236902902970996</v>
      </c>
      <c r="AL83" s="338"/>
      <c r="AM83" s="59"/>
      <c r="AN83" s="59">
        <v>2000</v>
      </c>
      <c r="AO83" s="62"/>
      <c r="AP83" s="62"/>
      <c r="AQ83" s="59"/>
      <c r="AR83" s="59"/>
      <c r="AS83" s="59"/>
      <c r="AT83" s="189">
        <f>VLOOKUP(B:B,综合进度!B:N,13,0)</f>
        <v>1.06414201257975e-002</v>
      </c>
      <c r="AU83" s="59">
        <f t="shared" si="2424"/>
        <v>63.571631003111797</v>
      </c>
      <c r="AV83" s="59"/>
      <c r="AW83" s="59"/>
      <c r="AX83" s="59">
        <f t="shared" si="2425"/>
        <v>3291</v>
      </c>
      <c r="AY83" s="59">
        <v>5433</v>
      </c>
      <c r="AZ83" s="59">
        <f t="shared" si="2426"/>
        <v>5084.980843155</v>
      </c>
      <c r="BA83" s="59">
        <f t="shared" si="2427"/>
        <v>-1793.980843155</v>
      </c>
      <c r="BB83" s="43">
        <f t="shared" si="2263"/>
        <v>-0.35279992166930502</v>
      </c>
      <c r="BC83" s="50">
        <v>-7471</v>
      </c>
      <c r="BD83" s="50">
        <f t="shared" si="2428"/>
        <v>-9264.9808431549991</v>
      </c>
      <c r="BE83" s="5"/>
      <c r="BG83" s="340"/>
    </row>
    <row r="84" ht="17" customHeight="1">
      <c r="A84" s="46">
        <v>52</v>
      </c>
      <c r="B84" s="82" t="s">
        <v>135</v>
      </c>
      <c r="C84" s="46" t="s">
        <v>78</v>
      </c>
      <c r="D84" s="46"/>
      <c r="E84" s="46"/>
      <c r="F84" s="46" t="s">
        <v>146</v>
      </c>
      <c r="G84" s="73">
        <v>13183</v>
      </c>
      <c r="H84" s="59">
        <f t="shared" si="2401"/>
        <v>7909.8000000000002</v>
      </c>
      <c r="I84" s="59">
        <f t="shared" si="2402"/>
        <v>7909.8000000000002</v>
      </c>
      <c r="J84" s="59">
        <f t="shared" si="2403"/>
        <v>0</v>
      </c>
      <c r="K84" s="59">
        <f t="shared" si="2404"/>
        <v>0</v>
      </c>
      <c r="L84" s="59">
        <f t="shared" si="2405"/>
        <v>0</v>
      </c>
      <c r="M84" s="59">
        <f t="shared" si="2406"/>
        <v>0</v>
      </c>
      <c r="N84" s="59">
        <v>1522</v>
      </c>
      <c r="O84" s="59">
        <v>3775</v>
      </c>
      <c r="P84" s="59">
        <f t="shared" si="2413"/>
        <v>0</v>
      </c>
      <c r="Q84" s="59"/>
      <c r="R84" s="59"/>
      <c r="S84" s="59"/>
      <c r="T84" s="59"/>
      <c r="U84" s="59">
        <v>24</v>
      </c>
      <c r="V84" s="59">
        <f t="shared" si="2414"/>
        <v>126.848847939243</v>
      </c>
      <c r="W84" s="59">
        <v>11189.58</v>
      </c>
      <c r="X84" s="62">
        <f t="shared" si="2415"/>
        <v>0.72114661563138405</v>
      </c>
      <c r="Y84" s="62">
        <f t="shared" si="2416"/>
        <v>1.06044609828595</v>
      </c>
      <c r="Z84" s="62">
        <f>Y84*0.2</f>
        <v>0.21208921965718999</v>
      </c>
      <c r="AA84" s="59">
        <f t="shared" si="2418"/>
        <v>16.8019083967706</v>
      </c>
      <c r="AB84" s="59">
        <v>940.5</v>
      </c>
      <c r="AC84" s="59">
        <f t="shared" si="2419"/>
        <v>11.8656470165679</v>
      </c>
      <c r="AD84" s="59"/>
      <c r="AE84" s="59"/>
      <c r="AF84" s="59">
        <v>14</v>
      </c>
      <c r="AG84" s="59">
        <f>AF84*0.5</f>
        <v>7</v>
      </c>
      <c r="AH84" s="59">
        <f t="shared" si="2421"/>
        <v>11.8012868632708</v>
      </c>
      <c r="AI84" s="59">
        <v>1</v>
      </c>
      <c r="AJ84" s="59">
        <f>AI84*0.5</f>
        <v>0.5</v>
      </c>
      <c r="AK84" s="59">
        <f t="shared" si="2423"/>
        <v>34.118451451485498</v>
      </c>
      <c r="AL84" s="338"/>
      <c r="AM84" s="59"/>
      <c r="AN84" s="59"/>
      <c r="AO84" s="62"/>
      <c r="AP84" s="62"/>
      <c r="AQ84" s="59"/>
      <c r="AR84" s="59"/>
      <c r="AS84" s="59"/>
      <c r="AT84" s="189">
        <f>VLOOKUP(B:B,综合进度!B:N,13,0)</f>
        <v>6.8265623225401703e-003</v>
      </c>
      <c r="AU84" s="59">
        <f t="shared" si="2424"/>
        <v>40.781746783608497</v>
      </c>
      <c r="AV84" s="59"/>
      <c r="AW84" s="59"/>
      <c r="AX84" s="59">
        <f t="shared" si="2425"/>
        <v>242</v>
      </c>
      <c r="AY84" s="59">
        <v>2182</v>
      </c>
      <c r="AZ84" s="59">
        <f t="shared" si="2426"/>
        <v>2042.2286397504499</v>
      </c>
      <c r="BA84" s="59">
        <f t="shared" si="2427"/>
        <v>-1800.2286397504499</v>
      </c>
      <c r="BB84" s="43">
        <f t="shared" ref="BB84:BB100" si="2432">BA84/AZ84</f>
        <v>-0.88150200457987404</v>
      </c>
      <c r="BC84" s="50">
        <v>-4776</v>
      </c>
      <c r="BD84" s="50">
        <f t="shared" si="2428"/>
        <v>-6576.2286397504504</v>
      </c>
      <c r="BG84" s="340"/>
    </row>
    <row r="85" ht="17" customHeight="1">
      <c r="A85" s="46">
        <v>53</v>
      </c>
      <c r="B85" s="82" t="s">
        <v>133</v>
      </c>
      <c r="C85" s="46" t="s">
        <v>93</v>
      </c>
      <c r="D85" s="46">
        <v>2019</v>
      </c>
      <c r="E85" s="46" t="s">
        <v>94</v>
      </c>
      <c r="F85" s="46" t="s">
        <v>146</v>
      </c>
      <c r="G85" s="73">
        <v>111848</v>
      </c>
      <c r="H85" s="59">
        <f t="shared" si="2401"/>
        <v>100663.2</v>
      </c>
      <c r="I85" s="59">
        <f t="shared" si="2402"/>
        <v>0</v>
      </c>
      <c r="J85" s="59">
        <f t="shared" si="2403"/>
        <v>0</v>
      </c>
      <c r="K85" s="59">
        <f t="shared" si="2404"/>
        <v>0</v>
      </c>
      <c r="L85" s="59">
        <f t="shared" si="2405"/>
        <v>100663.2</v>
      </c>
      <c r="M85" s="59">
        <f t="shared" si="2406"/>
        <v>0</v>
      </c>
      <c r="N85" s="59">
        <v>13742</v>
      </c>
      <c r="O85" s="59">
        <v>12127</v>
      </c>
      <c r="P85" s="59">
        <f t="shared" si="2413"/>
        <v>0</v>
      </c>
      <c r="Q85" s="59"/>
      <c r="R85" s="59"/>
      <c r="S85" s="59"/>
      <c r="T85" s="59"/>
      <c r="U85" s="59">
        <v>1600</v>
      </c>
      <c r="V85" s="59">
        <f t="shared" si="2414"/>
        <v>1398.74008453171</v>
      </c>
      <c r="W85" s="59">
        <v>11857.92</v>
      </c>
      <c r="X85" s="62">
        <f t="shared" si="2415"/>
        <v>0.61329800452475602</v>
      </c>
      <c r="Y85" s="62">
        <f t="shared" si="2416"/>
        <v>7.7024096388264098</v>
      </c>
      <c r="Z85" s="62">
        <f t="shared" si="2431"/>
        <v>7.7024096388264098</v>
      </c>
      <c r="AA85" s="59">
        <f t="shared" si="2418"/>
        <v>610.19217004590905</v>
      </c>
      <c r="AB85" s="59">
        <v>7685.3100000000004</v>
      </c>
      <c r="AC85" s="59">
        <f t="shared" si="2419"/>
        <v>96.960314378415106</v>
      </c>
      <c r="AD85" s="59"/>
      <c r="AE85" s="59"/>
      <c r="AF85" s="59">
        <v>42</v>
      </c>
      <c r="AG85" s="59">
        <f t="shared" ref="AG85:AG88" si="2433">AF85</f>
        <v>42</v>
      </c>
      <c r="AH85" s="59">
        <f t="shared" si="2421"/>
        <v>70.807721179624707</v>
      </c>
      <c r="AI85" s="59">
        <v>0.95769451504468295</v>
      </c>
      <c r="AJ85" s="59">
        <f t="shared" ref="AJ85:AJ88" si="2434">AI85</f>
        <v>0.95769451504468295</v>
      </c>
      <c r="AK85" s="59">
        <f t="shared" si="2423"/>
        <v>65.350107633811902</v>
      </c>
      <c r="AL85" s="338"/>
      <c r="AM85" s="59"/>
      <c r="AN85" s="59">
        <v>1000</v>
      </c>
      <c r="AO85" s="62"/>
      <c r="AP85" s="62"/>
      <c r="AQ85" s="59"/>
      <c r="AR85" s="59"/>
      <c r="AS85" s="59"/>
      <c r="AT85" s="189">
        <f>VLOOKUP(B:B,综合进度!B:N,13,0)</f>
        <v>1.2012235572387399e-002</v>
      </c>
      <c r="AU85" s="59">
        <f t="shared" si="2424"/>
        <v>71.760855064731004</v>
      </c>
      <c r="AV85" s="59"/>
      <c r="AW85" s="59"/>
      <c r="AX85" s="59">
        <f t="shared" si="2425"/>
        <v>3314</v>
      </c>
      <c r="AY85" s="59">
        <v>3243</v>
      </c>
      <c r="AZ85" s="59">
        <f t="shared" si="2426"/>
        <v>3035.2646556877698</v>
      </c>
      <c r="BA85" s="59">
        <f t="shared" si="2427"/>
        <v>278.73534431222703</v>
      </c>
      <c r="BB85" s="43">
        <f t="shared" si="2432"/>
        <v>9.1832303252339306e-002</v>
      </c>
      <c r="BC85" s="50">
        <v>493</v>
      </c>
      <c r="BD85" s="50">
        <f t="shared" si="2428"/>
        <v>771.73534431222697</v>
      </c>
      <c r="BF85" s="341"/>
      <c r="BG85" s="339"/>
    </row>
    <row r="86" ht="17" customHeight="1">
      <c r="A86" s="46">
        <v>54</v>
      </c>
      <c r="B86" s="82" t="s">
        <v>131</v>
      </c>
      <c r="C86" s="46" t="s">
        <v>93</v>
      </c>
      <c r="D86" s="46">
        <v>2019</v>
      </c>
      <c r="E86" s="46" t="s">
        <v>94</v>
      </c>
      <c r="F86" s="46"/>
      <c r="G86" s="73">
        <v>154382</v>
      </c>
      <c r="H86" s="59">
        <f t="shared" si="2401"/>
        <v>138943.79999999999</v>
      </c>
      <c r="I86" s="59">
        <f t="shared" si="2402"/>
        <v>0</v>
      </c>
      <c r="J86" s="59">
        <f t="shared" si="2403"/>
        <v>0</v>
      </c>
      <c r="K86" s="59">
        <f t="shared" si="2404"/>
        <v>0</v>
      </c>
      <c r="L86" s="59">
        <f t="shared" si="2405"/>
        <v>138943.79999999999</v>
      </c>
      <c r="M86" s="59">
        <f t="shared" si="2406"/>
        <v>0</v>
      </c>
      <c r="N86" s="59">
        <v>15403</v>
      </c>
      <c r="O86" s="59">
        <v>10660</v>
      </c>
      <c r="P86" s="59">
        <f t="shared" si="2413"/>
        <v>0</v>
      </c>
      <c r="Q86" s="59"/>
      <c r="R86" s="59"/>
      <c r="S86" s="59"/>
      <c r="T86" s="59"/>
      <c r="U86" s="59">
        <v>2988</v>
      </c>
      <c r="V86" s="59">
        <f t="shared" si="2414"/>
        <v>1792.0397405349299</v>
      </c>
      <c r="W86" s="59">
        <v>10382.4</v>
      </c>
      <c r="X86" s="62">
        <f t="shared" si="2415"/>
        <v>0.85139954365162596</v>
      </c>
      <c r="Y86" s="62">
        <f t="shared" si="2416"/>
        <v>14.4554871518891</v>
      </c>
      <c r="Z86" s="62">
        <f t="shared" si="2431"/>
        <v>14.4554871518891</v>
      </c>
      <c r="AA86" s="59">
        <f t="shared" si="2418"/>
        <v>1145.17735200928</v>
      </c>
      <c r="AB86" s="59">
        <v>14924.362800000001</v>
      </c>
      <c r="AC86" s="59">
        <f t="shared" si="2419"/>
        <v>188.290506041464</v>
      </c>
      <c r="AD86" s="59"/>
      <c r="AE86" s="59"/>
      <c r="AF86" s="59">
        <v>36</v>
      </c>
      <c r="AG86" s="59">
        <f t="shared" si="2433"/>
        <v>36</v>
      </c>
      <c r="AH86" s="59">
        <f t="shared" si="2421"/>
        <v>60.692332439678303</v>
      </c>
      <c r="AI86" s="59">
        <v>1</v>
      </c>
      <c r="AJ86" s="59">
        <f t="shared" si="2434"/>
        <v>1</v>
      </c>
      <c r="AK86" s="59">
        <f t="shared" si="2423"/>
        <v>68.236902902970996</v>
      </c>
      <c r="AL86" s="338"/>
      <c r="AM86" s="59"/>
      <c r="AN86" s="59">
        <v>1000</v>
      </c>
      <c r="AO86" s="62"/>
      <c r="AP86" s="62"/>
      <c r="AQ86" s="59"/>
      <c r="AR86" s="59"/>
      <c r="AS86" s="59"/>
      <c r="AT86" s="189">
        <f>VLOOKUP(B:B,综合进度!B:N,13,0)</f>
        <v>1.46500596996202e-002</v>
      </c>
      <c r="AU86" s="59">
        <f t="shared" si="2424"/>
        <v>87.519163644337098</v>
      </c>
      <c r="AV86" s="59"/>
      <c r="AW86" s="59"/>
      <c r="AX86" s="59">
        <f t="shared" si="2425"/>
        <v>4342</v>
      </c>
      <c r="AY86" s="59">
        <v>4050</v>
      </c>
      <c r="AZ86" s="59">
        <f t="shared" si="2426"/>
        <v>3790.57103161748</v>
      </c>
      <c r="BA86" s="59">
        <f t="shared" si="2427"/>
        <v>551.42896838252204</v>
      </c>
      <c r="BB86" s="43">
        <f t="shared" si="2432"/>
        <v>0.14547385177141001</v>
      </c>
      <c r="BC86" s="50">
        <v>207</v>
      </c>
      <c r="BD86" s="50">
        <f t="shared" si="2428"/>
        <v>758.42896838252204</v>
      </c>
      <c r="BF86" s="341"/>
      <c r="BG86" s="339"/>
    </row>
    <row r="87" ht="17" customHeight="1">
      <c r="A87" s="46">
        <v>55</v>
      </c>
      <c r="B87" s="82" t="s">
        <v>132</v>
      </c>
      <c r="C87" s="46" t="s">
        <v>93</v>
      </c>
      <c r="D87" s="46">
        <v>2019</v>
      </c>
      <c r="E87" s="46" t="s">
        <v>94</v>
      </c>
      <c r="F87" s="46"/>
      <c r="G87" s="73">
        <v>105952</v>
      </c>
      <c r="H87" s="59">
        <f t="shared" si="2401"/>
        <v>95356.800000000003</v>
      </c>
      <c r="I87" s="59">
        <f t="shared" si="2402"/>
        <v>0</v>
      </c>
      <c r="J87" s="59">
        <f t="shared" si="2403"/>
        <v>0</v>
      </c>
      <c r="K87" s="59">
        <f t="shared" si="2404"/>
        <v>0</v>
      </c>
      <c r="L87" s="59">
        <f t="shared" si="2405"/>
        <v>95356.800000000003</v>
      </c>
      <c r="M87" s="59">
        <f t="shared" si="2406"/>
        <v>0</v>
      </c>
      <c r="N87" s="59">
        <v>10395</v>
      </c>
      <c r="O87" s="59">
        <v>12905</v>
      </c>
      <c r="P87" s="59">
        <f t="shared" si="2413"/>
        <v>1967.4000000000001</v>
      </c>
      <c r="Q87" s="59">
        <v>3279</v>
      </c>
      <c r="R87" s="59"/>
      <c r="S87" s="59"/>
      <c r="T87" s="59"/>
      <c r="U87" s="59">
        <v>1689</v>
      </c>
      <c r="V87" s="59">
        <f t="shared" si="2414"/>
        <v>1248.1057301066101</v>
      </c>
      <c r="W87" s="59">
        <v>10793.52</v>
      </c>
      <c r="X87" s="62">
        <f t="shared" si="2415"/>
        <v>0.78505797948045997</v>
      </c>
      <c r="Y87" s="62">
        <f t="shared" si="2416"/>
        <v>9.1339140738613107</v>
      </c>
      <c r="Z87" s="62">
        <f t="shared" si="2431"/>
        <v>9.1339140738613107</v>
      </c>
      <c r="AA87" s="59">
        <f t="shared" si="2418"/>
        <v>723.59730410177303</v>
      </c>
      <c r="AB87" s="59">
        <v>8815.4799999999996</v>
      </c>
      <c r="AC87" s="59">
        <f t="shared" si="2419"/>
        <v>111.218898417452</v>
      </c>
      <c r="AD87" s="59"/>
      <c r="AE87" s="59"/>
      <c r="AF87" s="59">
        <v>9</v>
      </c>
      <c r="AG87" s="59">
        <f t="shared" si="2433"/>
        <v>9</v>
      </c>
      <c r="AH87" s="59">
        <f t="shared" si="2421"/>
        <v>15.173083109919601</v>
      </c>
      <c r="AI87" s="59">
        <v>0.88889332481635297</v>
      </c>
      <c r="AJ87" s="59">
        <f t="shared" si="2434"/>
        <v>0.88889332481635297</v>
      </c>
      <c r="AK87" s="59">
        <f t="shared" si="2423"/>
        <v>60.655327496592498</v>
      </c>
      <c r="AL87" s="338"/>
      <c r="AM87" s="59"/>
      <c r="AN87" s="59">
        <v>1000</v>
      </c>
      <c r="AO87" s="62"/>
      <c r="AP87" s="62"/>
      <c r="AQ87" s="59"/>
      <c r="AR87" s="59"/>
      <c r="AS87" s="59"/>
      <c r="AT87" s="189">
        <f>VLOOKUP(B:B,综合进度!B:N,13,0)</f>
        <v>1.1860821478038099e-002</v>
      </c>
      <c r="AU87" s="59">
        <f t="shared" si="2424"/>
        <v>70.856310293369802</v>
      </c>
      <c r="AV87" s="59"/>
      <c r="AW87" s="59"/>
      <c r="AX87" s="59">
        <f t="shared" si="2425"/>
        <v>3230</v>
      </c>
      <c r="AY87" s="59">
        <v>3701</v>
      </c>
      <c r="AZ87" s="59">
        <f t="shared" si="2426"/>
        <v>3463.9267624731601</v>
      </c>
      <c r="BA87" s="59">
        <f t="shared" si="2427"/>
        <v>-233.926762473157</v>
      </c>
      <c r="BB87" s="43">
        <f t="shared" si="2432"/>
        <v>-6.7532248374136794e-002</v>
      </c>
      <c r="BC87" s="50">
        <v>-168</v>
      </c>
      <c r="BD87" s="50">
        <f t="shared" si="2428"/>
        <v>-401.926762473157</v>
      </c>
      <c r="BF87" s="341"/>
      <c r="BG87" s="339"/>
    </row>
    <row r="88" ht="17" customHeight="1">
      <c r="A88" s="46">
        <v>56</v>
      </c>
      <c r="B88" s="82" t="s">
        <v>134</v>
      </c>
      <c r="C88" s="46" t="s">
        <v>93</v>
      </c>
      <c r="D88" s="46">
        <v>2019</v>
      </c>
      <c r="E88" s="46" t="s">
        <v>94</v>
      </c>
      <c r="F88" s="46" t="s">
        <v>146</v>
      </c>
      <c r="G88" s="73">
        <v>97676</v>
      </c>
      <c r="H88" s="59">
        <f t="shared" si="2401"/>
        <v>87908.399999999994</v>
      </c>
      <c r="I88" s="59">
        <f t="shared" si="2402"/>
        <v>0</v>
      </c>
      <c r="J88" s="59">
        <f t="shared" si="2403"/>
        <v>0</v>
      </c>
      <c r="K88" s="59">
        <f t="shared" si="2404"/>
        <v>0</v>
      </c>
      <c r="L88" s="59">
        <f t="shared" si="2405"/>
        <v>87908.399999999994</v>
      </c>
      <c r="M88" s="59">
        <f t="shared" si="2406"/>
        <v>0</v>
      </c>
      <c r="N88" s="59">
        <v>8288</v>
      </c>
      <c r="O88" s="59">
        <v>10686</v>
      </c>
      <c r="P88" s="59">
        <f t="shared" si="2413"/>
        <v>790.20000000000005</v>
      </c>
      <c r="Q88" s="59">
        <v>1317</v>
      </c>
      <c r="R88" s="59"/>
      <c r="S88" s="59"/>
      <c r="T88" s="59"/>
      <c r="U88" s="59">
        <v>662</v>
      </c>
      <c r="V88" s="59">
        <f t="shared" si="2414"/>
        <v>1017.00793249631</v>
      </c>
      <c r="W88" s="59">
        <v>11451.93</v>
      </c>
      <c r="X88" s="62">
        <f t="shared" si="2415"/>
        <v>0.67881175145473105</v>
      </c>
      <c r="Y88" s="62">
        <f t="shared" si="2416"/>
        <v>7.1929608431149203</v>
      </c>
      <c r="Z88" s="62">
        <f t="shared" si="2431"/>
        <v>7.1929608431149203</v>
      </c>
      <c r="AA88" s="59">
        <f t="shared" si="2418"/>
        <v>569.83315504163397</v>
      </c>
      <c r="AB88" s="59">
        <v>15608.370000000001</v>
      </c>
      <c r="AC88" s="59">
        <f t="shared" si="2419"/>
        <v>196.920158345548</v>
      </c>
      <c r="AD88" s="59"/>
      <c r="AE88" s="59"/>
      <c r="AF88" s="59">
        <v>36</v>
      </c>
      <c r="AG88" s="59">
        <f t="shared" si="2433"/>
        <v>36</v>
      </c>
      <c r="AH88" s="59">
        <f t="shared" si="2421"/>
        <v>60.692332439678303</v>
      </c>
      <c r="AI88" s="59">
        <v>1</v>
      </c>
      <c r="AJ88" s="59">
        <f t="shared" si="2434"/>
        <v>1</v>
      </c>
      <c r="AK88" s="59">
        <f t="shared" si="2423"/>
        <v>68.236902902970996</v>
      </c>
      <c r="AL88" s="338"/>
      <c r="AM88" s="59"/>
      <c r="AN88" s="59">
        <v>1000</v>
      </c>
      <c r="AO88" s="62"/>
      <c r="AP88" s="62"/>
      <c r="AQ88" s="59"/>
      <c r="AR88" s="59"/>
      <c r="AS88" s="59"/>
      <c r="AT88" s="189">
        <f>VLOOKUP(B:B,综合进度!B:N,13,0)</f>
        <v>1.12170297472141e-002</v>
      </c>
      <c r="AU88" s="59">
        <f t="shared" si="2424"/>
        <v>67.010311369262197</v>
      </c>
      <c r="AV88" s="59"/>
      <c r="AW88" s="59"/>
      <c r="AX88" s="59">
        <f t="shared" si="2425"/>
        <v>2980</v>
      </c>
      <c r="AY88" s="59">
        <v>4482</v>
      </c>
      <c r="AZ88" s="59">
        <f t="shared" si="2426"/>
        <v>4194.8986083233403</v>
      </c>
      <c r="BA88" s="59">
        <f t="shared" si="2427"/>
        <v>-1214.8986083233401</v>
      </c>
      <c r="BB88" s="43">
        <f t="shared" si="2432"/>
        <v>-0.28961334271889</v>
      </c>
      <c r="BC88" s="50">
        <v>418</v>
      </c>
      <c r="BD88" s="50">
        <f t="shared" si="2428"/>
        <v>-796.89860832334205</v>
      </c>
      <c r="BF88" s="341"/>
      <c r="BG88" s="339"/>
    </row>
    <row r="89" s="5" customFormat="1" ht="17" customHeight="1">
      <c r="A89" s="65"/>
      <c r="B89" s="66" t="s">
        <v>136</v>
      </c>
      <c r="C89" s="67">
        <v>1</v>
      </c>
      <c r="D89" s="67"/>
      <c r="E89" s="67"/>
      <c r="F89" s="68"/>
      <c r="G89" s="69">
        <f t="shared" ref="G89:P89" si="2435">G90+G91</f>
        <v>573982</v>
      </c>
      <c r="H89" s="69">
        <f t="shared" si="2435"/>
        <v>521571.29999999999</v>
      </c>
      <c r="I89" s="69">
        <f t="shared" si="2435"/>
        <v>0</v>
      </c>
      <c r="J89" s="69">
        <f t="shared" si="2435"/>
        <v>0</v>
      </c>
      <c r="K89" s="69">
        <f t="shared" si="2435"/>
        <v>72706.399999999994</v>
      </c>
      <c r="L89" s="69">
        <f t="shared" si="2435"/>
        <v>308106.90000000002</v>
      </c>
      <c r="M89" s="69">
        <f t="shared" si="2435"/>
        <v>140758</v>
      </c>
      <c r="N89" s="69">
        <f t="shared" si="2435"/>
        <v>70367</v>
      </c>
      <c r="O89" s="69">
        <f t="shared" si="2435"/>
        <v>37005</v>
      </c>
      <c r="P89" s="69">
        <f t="shared" si="2435"/>
        <v>12735.4</v>
      </c>
      <c r="Q89" s="59">
        <v>9011</v>
      </c>
      <c r="R89" s="69">
        <f t="shared" ref="R89:V89" si="2436">R90+R91</f>
        <v>9161</v>
      </c>
      <c r="S89" s="69">
        <f t="shared" si="2436"/>
        <v>0</v>
      </c>
      <c r="T89" s="69">
        <f t="shared" si="2436"/>
        <v>0</v>
      </c>
      <c r="U89" s="69">
        <f t="shared" si="2436"/>
        <v>10586</v>
      </c>
      <c r="V89" s="69">
        <f t="shared" si="2436"/>
        <v>7615.39153633768</v>
      </c>
      <c r="W89" s="69"/>
      <c r="X89" s="69">
        <f t="shared" ref="X89:AC89" si="2437">X90+X91</f>
        <v>3.9161048374864098</v>
      </c>
      <c r="Y89" s="69">
        <f t="shared" si="2437"/>
        <v>32.265686311001097</v>
      </c>
      <c r="Z89" s="69">
        <f t="shared" si="2437"/>
        <v>29.5466655301258</v>
      </c>
      <c r="AA89" s="69">
        <f t="shared" si="2437"/>
        <v>2340.71476367169</v>
      </c>
      <c r="AB89" s="69">
        <f t="shared" si="2437"/>
        <v>27284.931400000001</v>
      </c>
      <c r="AC89" s="69">
        <f t="shared" si="2437"/>
        <v>344.23536933936202</v>
      </c>
      <c r="AD89" s="69"/>
      <c r="AE89" s="69"/>
      <c r="AF89" s="69">
        <f t="shared" ref="AF89:AK89" si="2438">AF90+AF91</f>
        <v>244</v>
      </c>
      <c r="AG89" s="69">
        <f t="shared" si="2438"/>
        <v>244</v>
      </c>
      <c r="AH89" s="69">
        <f t="shared" si="2438"/>
        <v>411.35914209115299</v>
      </c>
      <c r="AI89" s="69">
        <f t="shared" si="2438"/>
        <v>7.8111382952869404</v>
      </c>
      <c r="AJ89" s="69">
        <f t="shared" si="2438"/>
        <v>7.8111382952869404</v>
      </c>
      <c r="AK89" s="69">
        <f t="shared" si="2438"/>
        <v>533.00788541717304</v>
      </c>
      <c r="AL89" s="69"/>
      <c r="AM89" s="69"/>
      <c r="AN89" s="69">
        <f t="shared" ref="AN89:AU89" si="2439">AN90+AN91</f>
        <v>10000</v>
      </c>
      <c r="AO89" s="69"/>
      <c r="AP89" s="69"/>
      <c r="AQ89" s="69">
        <f t="shared" si="2439"/>
        <v>0</v>
      </c>
      <c r="AR89" s="69"/>
      <c r="AS89" s="69">
        <f t="shared" si="2439"/>
        <v>0</v>
      </c>
      <c r="AT89" s="403">
        <f t="shared" si="2439"/>
        <v>7.2927773228782994e-002</v>
      </c>
      <c r="AU89" s="69">
        <f t="shared" si="2439"/>
        <v>435.66905871328498</v>
      </c>
      <c r="AV89" s="69"/>
      <c r="AW89" s="71"/>
      <c r="AX89" s="69">
        <f t="shared" ref="AX89:BA89" si="2440">AX90+AX91</f>
        <v>21681</v>
      </c>
      <c r="AY89" s="69">
        <v>21161</v>
      </c>
      <c r="AZ89" s="69">
        <f t="shared" si="2440"/>
        <v>19805.499654335199</v>
      </c>
      <c r="BA89" s="69">
        <f t="shared" si="2440"/>
        <v>1875.5003456648301</v>
      </c>
      <c r="BB89" s="336">
        <f t="shared" si="2432"/>
        <v>9.4695936906307898e-002</v>
      </c>
      <c r="BC89" s="404">
        <v>-13193</v>
      </c>
      <c r="BD89" s="69">
        <f>BD90+BD91</f>
        <v>-11324.499654335201</v>
      </c>
      <c r="BG89" s="340"/>
    </row>
    <row r="90" s="5" customFormat="1" ht="17" customHeight="1">
      <c r="A90" s="44"/>
      <c r="B90" s="72" t="s">
        <v>137</v>
      </c>
      <c r="C90" s="46">
        <v>2</v>
      </c>
      <c r="D90" s="46"/>
      <c r="E90" s="46"/>
      <c r="F90" s="46"/>
      <c r="G90" s="73"/>
      <c r="H90" s="59">
        <f t="shared" ref="H90:H99" si="2441">SUM(I90:M90)</f>
        <v>0</v>
      </c>
      <c r="I90" s="59">
        <f t="shared" ref="I90:I99" si="2442">IF(D90="",G90*0.6,0)</f>
        <v>0</v>
      </c>
      <c r="J90" s="59">
        <f t="shared" ref="J90:J99" si="2443">IF(D90=2017,G90*0.7,0)</f>
        <v>0</v>
      </c>
      <c r="K90" s="59">
        <f t="shared" ref="K90:K99" si="2444">IF(D90=2018,G90*0.8,0)</f>
        <v>0</v>
      </c>
      <c r="L90" s="59">
        <f t="shared" ref="L90:L99" si="2445">IF(D90=2019,G90*0.9,0)</f>
        <v>0</v>
      </c>
      <c r="M90" s="59">
        <f t="shared" ref="M90:M99" si="2446">IF(D90=2020,G90*1,0)</f>
        <v>0</v>
      </c>
      <c r="N90" s="59"/>
      <c r="O90" s="59"/>
      <c r="P90" s="59">
        <f>L90*0.4+M90*0.6+N90*0.8+O90*1</f>
        <v>0</v>
      </c>
      <c r="Q90" s="59"/>
      <c r="R90" s="59"/>
      <c r="S90" s="59"/>
      <c r="T90" s="59"/>
      <c r="U90" s="59"/>
      <c r="V90" s="59">
        <f>H90/$H$9*134866+N90/$N$9*202299+P90/$P$9*100000+U90/$U$9*34867</f>
        <v>0</v>
      </c>
      <c r="W90" s="59"/>
      <c r="X90" s="62"/>
      <c r="Y90" s="62"/>
      <c r="Z90" s="62"/>
      <c r="AA90" s="59"/>
      <c r="AB90" s="59"/>
      <c r="AC90" s="59"/>
      <c r="AD90" s="59"/>
      <c r="AE90" s="59"/>
      <c r="AF90" s="59"/>
      <c r="AG90" s="59">
        <f t="shared" ref="AG90:AG99" si="2447">AF90</f>
        <v>0</v>
      </c>
      <c r="AH90" s="59">
        <f>AG90/$AG$9*40459.89</f>
        <v>0</v>
      </c>
      <c r="AI90" s="59"/>
      <c r="AJ90" s="59">
        <f t="shared" ref="AJ90:AJ99" si="2448">AI90</f>
        <v>0</v>
      </c>
      <c r="AK90" s="59">
        <f>AJ90/$AJ$9*40459.89</f>
        <v>0</v>
      </c>
      <c r="AL90" s="59"/>
      <c r="AM90" s="59"/>
      <c r="AN90" s="59"/>
      <c r="AO90" s="62"/>
      <c r="AP90" s="62"/>
      <c r="AQ90" s="59"/>
      <c r="AR90" s="59"/>
      <c r="AS90" s="59"/>
      <c r="AT90" s="189"/>
      <c r="AU90" s="59"/>
      <c r="AV90" s="59"/>
      <c r="AW90" s="59"/>
      <c r="AX90" s="59">
        <f>V90+AA90+AC90+AE90+AH90+AK90+AM90+AN90+AQ90+AS90+AU90+AW90</f>
        <v>0</v>
      </c>
      <c r="AY90" s="59"/>
      <c r="AZ90" s="170"/>
      <c r="BA90" s="50"/>
      <c r="BB90" s="43"/>
      <c r="BC90" s="50">
        <v>7</v>
      </c>
      <c r="BD90" s="50"/>
      <c r="BG90" s="340"/>
    </row>
    <row r="91" s="5" customFormat="1" ht="17" customHeight="1">
      <c r="A91" s="75"/>
      <c r="B91" s="76" t="s">
        <v>76</v>
      </c>
      <c r="C91" s="77">
        <v>3</v>
      </c>
      <c r="D91" s="77"/>
      <c r="E91" s="77"/>
      <c r="F91" s="78"/>
      <c r="G91" s="79">
        <f t="shared" ref="G91:P91" si="2449">SUM(G92:G99)</f>
        <v>573982</v>
      </c>
      <c r="H91" s="79">
        <f t="shared" si="2449"/>
        <v>521571.29999999999</v>
      </c>
      <c r="I91" s="79">
        <f t="shared" si="2449"/>
        <v>0</v>
      </c>
      <c r="J91" s="79">
        <f t="shared" si="2449"/>
        <v>0</v>
      </c>
      <c r="K91" s="79">
        <f t="shared" si="2449"/>
        <v>72706.399999999994</v>
      </c>
      <c r="L91" s="79">
        <f t="shared" si="2449"/>
        <v>308106.90000000002</v>
      </c>
      <c r="M91" s="79">
        <f t="shared" si="2449"/>
        <v>140758</v>
      </c>
      <c r="N91" s="79">
        <f t="shared" si="2449"/>
        <v>70367</v>
      </c>
      <c r="O91" s="79">
        <f t="shared" si="2449"/>
        <v>37005</v>
      </c>
      <c r="P91" s="79">
        <f t="shared" si="2449"/>
        <v>12735.4</v>
      </c>
      <c r="Q91" s="59">
        <v>9011</v>
      </c>
      <c r="R91" s="79">
        <f t="shared" ref="R91:V91" si="2450">SUM(R92:R99)</f>
        <v>9161</v>
      </c>
      <c r="S91" s="79">
        <f t="shared" si="2450"/>
        <v>0</v>
      </c>
      <c r="T91" s="79">
        <f t="shared" si="2450"/>
        <v>0</v>
      </c>
      <c r="U91" s="79">
        <f t="shared" si="2450"/>
        <v>10586</v>
      </c>
      <c r="V91" s="79">
        <f t="shared" si="2450"/>
        <v>7615.39153633768</v>
      </c>
      <c r="W91" s="79"/>
      <c r="X91" s="79">
        <f t="shared" ref="X91:AC91" si="2451">SUM(X92:X99)</f>
        <v>3.9161048374864098</v>
      </c>
      <c r="Y91" s="79">
        <f t="shared" si="2451"/>
        <v>32.265686311001097</v>
      </c>
      <c r="Z91" s="79">
        <f t="shared" si="2451"/>
        <v>29.5466655301258</v>
      </c>
      <c r="AA91" s="79">
        <f t="shared" si="2451"/>
        <v>2340.71476367169</v>
      </c>
      <c r="AB91" s="79">
        <f t="shared" si="2451"/>
        <v>27284.931400000001</v>
      </c>
      <c r="AC91" s="79">
        <f t="shared" si="2451"/>
        <v>344.23536933936202</v>
      </c>
      <c r="AD91" s="79"/>
      <c r="AE91" s="79"/>
      <c r="AF91" s="79">
        <f t="shared" ref="AF91:AK91" si="2452">SUM(AF92:AF99)</f>
        <v>244</v>
      </c>
      <c r="AG91" s="79">
        <f t="shared" si="2452"/>
        <v>244</v>
      </c>
      <c r="AH91" s="79">
        <f t="shared" si="2452"/>
        <v>411.35914209115299</v>
      </c>
      <c r="AI91" s="79">
        <f t="shared" si="2452"/>
        <v>7.8111382952869404</v>
      </c>
      <c r="AJ91" s="79">
        <f t="shared" si="2452"/>
        <v>7.8111382952869404</v>
      </c>
      <c r="AK91" s="79">
        <f t="shared" si="2452"/>
        <v>533.00788541717304</v>
      </c>
      <c r="AL91" s="79"/>
      <c r="AM91" s="79"/>
      <c r="AN91" s="79">
        <f t="shared" ref="AN91:AU91" si="2453">SUM(AN92:AN99)</f>
        <v>10000</v>
      </c>
      <c r="AO91" s="79"/>
      <c r="AP91" s="79"/>
      <c r="AQ91" s="79">
        <f t="shared" si="2453"/>
        <v>0</v>
      </c>
      <c r="AR91" s="79"/>
      <c r="AS91" s="79">
        <f t="shared" si="2453"/>
        <v>0</v>
      </c>
      <c r="AT91" s="405">
        <f t="shared" si="2453"/>
        <v>7.2927773228782994e-002</v>
      </c>
      <c r="AU91" s="79">
        <f t="shared" si="2453"/>
        <v>435.66905871328498</v>
      </c>
      <c r="AV91" s="79"/>
      <c r="AW91" s="81"/>
      <c r="AX91" s="79">
        <f t="shared" ref="AX91:BA91" si="2454">SUM(AX92:AX99)</f>
        <v>21681</v>
      </c>
      <c r="AY91" s="79">
        <v>21161</v>
      </c>
      <c r="AZ91" s="79">
        <f t="shared" si="2454"/>
        <v>19805.499654335199</v>
      </c>
      <c r="BA91" s="79">
        <f t="shared" si="2454"/>
        <v>1875.5003456648301</v>
      </c>
      <c r="BB91" s="337">
        <f t="shared" si="2432"/>
        <v>9.4695936906307898e-002</v>
      </c>
      <c r="BC91" s="406">
        <v>-13200</v>
      </c>
      <c r="BD91" s="79">
        <f>SUM(BD92:BD99)</f>
        <v>-11324.499654335201</v>
      </c>
      <c r="BG91" s="340"/>
    </row>
    <row r="92" ht="17" customHeight="1">
      <c r="A92" s="46">
        <v>57</v>
      </c>
      <c r="B92" s="82" t="s">
        <v>138</v>
      </c>
      <c r="C92" s="46" t="s">
        <v>90</v>
      </c>
      <c r="D92" s="46">
        <v>2019</v>
      </c>
      <c r="E92" s="46"/>
      <c r="F92" s="46"/>
      <c r="G92" s="73">
        <v>56067</v>
      </c>
      <c r="H92" s="59">
        <f t="shared" si="2441"/>
        <v>50460.300000000003</v>
      </c>
      <c r="I92" s="59">
        <f t="shared" si="2442"/>
        <v>0</v>
      </c>
      <c r="J92" s="59">
        <f t="shared" si="2443"/>
        <v>0</v>
      </c>
      <c r="K92" s="59">
        <f t="shared" si="2444"/>
        <v>0</v>
      </c>
      <c r="L92" s="59">
        <f t="shared" si="2445"/>
        <v>50460.300000000003</v>
      </c>
      <c r="M92" s="59">
        <f t="shared" si="2446"/>
        <v>0</v>
      </c>
      <c r="N92" s="59">
        <v>6906</v>
      </c>
      <c r="O92" s="59">
        <v>4466</v>
      </c>
      <c r="P92" s="59">
        <f t="shared" ref="P92:P99" si="2455">Q92*0.6+R92*0.8+S92*1+T92*1.25</f>
        <v>1583.4000000000001</v>
      </c>
      <c r="Q92" s="59">
        <v>2639</v>
      </c>
      <c r="R92" s="59"/>
      <c r="S92" s="59"/>
      <c r="T92" s="59"/>
      <c r="U92" s="59">
        <v>726</v>
      </c>
      <c r="V92" s="59">
        <f t="shared" ref="V92:V99" si="2456">H92/$H$9*298699*0.12+N92/$N$9*298699*0.15+P92/$P$9*298699*0.035+U92/$U$9*298699*0.025</f>
        <v>734.66937070653296</v>
      </c>
      <c r="W92" s="59">
        <v>13445.76</v>
      </c>
      <c r="X92" s="62">
        <f t="shared" ref="X92:X99" si="2457">($W$64-W92)/($W$64-$W$44)</f>
        <v>0.35707162474866999</v>
      </c>
      <c r="Y92" s="62">
        <f t="shared" ref="Y92:Y99" si="2458">(G92+N92)*X92/10000</f>
        <v>2.2485871425298001</v>
      </c>
      <c r="Z92" s="62">
        <f t="shared" ref="Z92:Z93" si="2459">Y92*0.5</f>
        <v>1.1242935712649</v>
      </c>
      <c r="AA92" s="59">
        <f t="shared" ref="AA92:AA99" si="2460">Z92/$Z$9*298699*0.12</f>
        <v>89.067599126462795</v>
      </c>
      <c r="AB92" s="59">
        <v>1575.53</v>
      </c>
      <c r="AC92" s="59">
        <f t="shared" ref="AC92:AC99" si="2461">(AB92/$AB$9*298699*0.03)</f>
        <v>19.877387393953398</v>
      </c>
      <c r="AD92" s="59"/>
      <c r="AE92" s="59"/>
      <c r="AF92" s="59">
        <v>51</v>
      </c>
      <c r="AG92" s="59">
        <f t="shared" si="2447"/>
        <v>51</v>
      </c>
      <c r="AH92" s="59">
        <f t="shared" ref="AH92:AH99" si="2462">AG92/$AG$9*298699*0.02</f>
        <v>85.980804289544295</v>
      </c>
      <c r="AI92" s="59">
        <v>0.97284504235176905</v>
      </c>
      <c r="AJ92" s="59">
        <f t="shared" si="2448"/>
        <v>0.97284504235176905</v>
      </c>
      <c r="AK92" s="59">
        <f t="shared" ref="AK92:AK99" si="2463">AJ92/$AJ$9*298699*0.02</f>
        <v>66.383932694594293</v>
      </c>
      <c r="AL92" s="338"/>
      <c r="AM92" s="59"/>
      <c r="AN92" s="59"/>
      <c r="AO92" s="62"/>
      <c r="AP92" s="62"/>
      <c r="AQ92" s="59"/>
      <c r="AR92" s="59"/>
      <c r="AS92" s="59"/>
      <c r="AT92" s="189">
        <f>VLOOKUP(B:B,综合进度!B:N,13,0)</f>
        <v>6.2835924175141901e-003</v>
      </c>
      <c r="AU92" s="59">
        <f t="shared" ref="AU92:AU99" si="2464">AT92/$AT$9*298699*0.02</f>
        <v>37.538055430381398</v>
      </c>
      <c r="AV92" s="59"/>
      <c r="AW92" s="59"/>
      <c r="AX92" s="59">
        <f t="shared" ref="AX92:AX99" si="2465">ROUND(V92+AA92+AC92+AN92+AQ92+AS92+AU92+AW92+AH92+AK92,0)</f>
        <v>1034</v>
      </c>
      <c r="AY92" s="59">
        <v>1140</v>
      </c>
      <c r="AZ92" s="59">
        <f t="shared" ref="AZ92:AZ99" si="2466">AY92/$AY$9*280243</f>
        <v>1066.97554964048</v>
      </c>
      <c r="BA92" s="59">
        <f t="shared" ref="BA92:BA99" si="2467">AX92-AZ92</f>
        <v>-32.9755496404753</v>
      </c>
      <c r="BB92" s="43">
        <f t="shared" si="2432"/>
        <v>-3.0905628204494998e-002</v>
      </c>
      <c r="BC92" s="50">
        <v>1703</v>
      </c>
      <c r="BD92" s="50">
        <f t="shared" ref="BD92:BD99" si="2468">BC92+BA92</f>
        <v>1670.02445035952</v>
      </c>
      <c r="BG92" s="340"/>
    </row>
    <row r="93" s="5" customFormat="1" ht="17" customHeight="1">
      <c r="A93" s="46">
        <v>58</v>
      </c>
      <c r="B93" s="82" t="s">
        <v>139</v>
      </c>
      <c r="C93" s="46" t="s">
        <v>90</v>
      </c>
      <c r="D93" s="46">
        <v>2018</v>
      </c>
      <c r="E93" s="46"/>
      <c r="F93" s="46"/>
      <c r="G93" s="73">
        <v>58746</v>
      </c>
      <c r="H93" s="59">
        <f t="shared" si="2441"/>
        <v>46996.800000000003</v>
      </c>
      <c r="I93" s="59">
        <f t="shared" si="2442"/>
        <v>0</v>
      </c>
      <c r="J93" s="59">
        <f t="shared" si="2443"/>
        <v>0</v>
      </c>
      <c r="K93" s="59">
        <f t="shared" si="2444"/>
        <v>46996.800000000003</v>
      </c>
      <c r="L93" s="59">
        <f t="shared" si="2445"/>
        <v>0</v>
      </c>
      <c r="M93" s="59">
        <f t="shared" si="2446"/>
        <v>0</v>
      </c>
      <c r="N93" s="59">
        <v>5959</v>
      </c>
      <c r="O93" s="59">
        <v>2491</v>
      </c>
      <c r="P93" s="59">
        <f t="shared" si="2455"/>
        <v>560.39999999999998</v>
      </c>
      <c r="Q93" s="59">
        <v>934</v>
      </c>
      <c r="R93" s="59"/>
      <c r="S93" s="59"/>
      <c r="T93" s="59"/>
      <c r="U93" s="59">
        <v>1056</v>
      </c>
      <c r="V93" s="59">
        <f t="shared" si="2456"/>
        <v>658.77560275164001</v>
      </c>
      <c r="W93" s="59">
        <v>12603.889999999999</v>
      </c>
      <c r="X93" s="62">
        <f t="shared" si="2457"/>
        <v>0.49292240463964998</v>
      </c>
      <c r="Y93" s="62">
        <f t="shared" si="2458"/>
        <v>3.18945441922085</v>
      </c>
      <c r="Z93" s="62">
        <f t="shared" si="2459"/>
        <v>1.5947272096104299</v>
      </c>
      <c r="AA93" s="59">
        <f t="shared" si="2460"/>
        <v>126.335796496499</v>
      </c>
      <c r="AB93" s="59">
        <v>1123.76</v>
      </c>
      <c r="AC93" s="59">
        <f t="shared" si="2461"/>
        <v>14.177713441082799</v>
      </c>
      <c r="AD93" s="59"/>
      <c r="AE93" s="59"/>
      <c r="AF93" s="59">
        <v>24</v>
      </c>
      <c r="AG93" s="59">
        <f t="shared" si="2447"/>
        <v>24</v>
      </c>
      <c r="AH93" s="59">
        <f t="shared" si="2462"/>
        <v>40.461554959785502</v>
      </c>
      <c r="AI93" s="59">
        <v>1</v>
      </c>
      <c r="AJ93" s="59">
        <f t="shared" si="2448"/>
        <v>1</v>
      </c>
      <c r="AK93" s="59">
        <f t="shared" si="2463"/>
        <v>68.236902902970996</v>
      </c>
      <c r="AL93" s="338"/>
      <c r="AM93" s="59"/>
      <c r="AN93" s="59"/>
      <c r="AO93" s="62"/>
      <c r="AP93" s="62"/>
      <c r="AQ93" s="59"/>
      <c r="AR93" s="59"/>
      <c r="AS93" s="59"/>
      <c r="AT93" s="189">
        <f>VLOOKUP(B:B,综合进度!B:N,13,0)</f>
        <v>4.3022791071161701e-003</v>
      </c>
      <c r="AU93" s="59">
        <f t="shared" si="2464"/>
        <v>25.701729340329901</v>
      </c>
      <c r="AV93" s="59"/>
      <c r="AW93" s="59"/>
      <c r="AX93" s="59">
        <f t="shared" si="2465"/>
        <v>934</v>
      </c>
      <c r="AY93" s="59">
        <v>855</v>
      </c>
      <c r="AZ93" s="59">
        <f t="shared" si="2466"/>
        <v>800.23166223035605</v>
      </c>
      <c r="BA93" s="59">
        <f t="shared" si="2467"/>
        <v>133.76833776964401</v>
      </c>
      <c r="BB93" s="43">
        <f t="shared" si="2432"/>
        <v>0.167162015805289</v>
      </c>
      <c r="BC93" s="50">
        <v>1514</v>
      </c>
      <c r="BD93" s="50">
        <f t="shared" si="2468"/>
        <v>1647.7683377696401</v>
      </c>
      <c r="BG93" s="340"/>
    </row>
    <row r="94" ht="17" customHeight="1">
      <c r="A94" s="46">
        <v>59</v>
      </c>
      <c r="B94" s="82" t="s">
        <v>140</v>
      </c>
      <c r="C94" s="46" t="s">
        <v>90</v>
      </c>
      <c r="D94" s="46">
        <v>2018</v>
      </c>
      <c r="E94" s="46" t="s">
        <v>91</v>
      </c>
      <c r="F94" s="46"/>
      <c r="G94" s="73">
        <v>32137</v>
      </c>
      <c r="H94" s="59">
        <f t="shared" si="2441"/>
        <v>25709.599999999999</v>
      </c>
      <c r="I94" s="59">
        <f t="shared" si="2442"/>
        <v>0</v>
      </c>
      <c r="J94" s="59">
        <f t="shared" si="2443"/>
        <v>0</v>
      </c>
      <c r="K94" s="59">
        <f t="shared" si="2444"/>
        <v>25709.599999999999</v>
      </c>
      <c r="L94" s="59">
        <f t="shared" si="2445"/>
        <v>0</v>
      </c>
      <c r="M94" s="59">
        <f t="shared" si="2446"/>
        <v>0</v>
      </c>
      <c r="N94" s="59">
        <v>5031</v>
      </c>
      <c r="O94" s="59">
        <v>3630</v>
      </c>
      <c r="P94" s="59">
        <f t="shared" si="2455"/>
        <v>1035</v>
      </c>
      <c r="Q94" s="59">
        <v>1725</v>
      </c>
      <c r="R94" s="59"/>
      <c r="S94" s="59"/>
      <c r="T94" s="59"/>
      <c r="U94" s="59">
        <v>941</v>
      </c>
      <c r="V94" s="59">
        <f t="shared" si="2456"/>
        <v>484.04834676381898</v>
      </c>
      <c r="W94" s="59">
        <v>13268.620000000001</v>
      </c>
      <c r="X94" s="62">
        <f t="shared" si="2457"/>
        <v>0.38565633159163598</v>
      </c>
      <c r="Y94" s="62">
        <f t="shared" si="2458"/>
        <v>1.43340745325979</v>
      </c>
      <c r="Z94" s="62">
        <f t="shared" ref="Z94:Z99" si="2469">Y94*1</f>
        <v>1.43340745325979</v>
      </c>
      <c r="AA94" s="59">
        <f t="shared" si="2460"/>
        <v>113.555892957914</v>
      </c>
      <c r="AB94" s="59">
        <v>3668.9470000000001</v>
      </c>
      <c r="AC94" s="59">
        <f t="shared" si="2461"/>
        <v>46.288601833594598</v>
      </c>
      <c r="AD94" s="59"/>
      <c r="AE94" s="59"/>
      <c r="AF94" s="59">
        <v>15</v>
      </c>
      <c r="AG94" s="59">
        <f t="shared" si="2447"/>
        <v>15</v>
      </c>
      <c r="AH94" s="59">
        <f t="shared" si="2462"/>
        <v>25.2884718498659</v>
      </c>
      <c r="AI94" s="59">
        <v>0.99443899247628398</v>
      </c>
      <c r="AJ94" s="59">
        <f t="shared" si="2448"/>
        <v>0.99443899247628398</v>
      </c>
      <c r="AK94" s="59">
        <f t="shared" si="2463"/>
        <v>67.857436972532497</v>
      </c>
      <c r="AL94" s="338"/>
      <c r="AM94" s="59"/>
      <c r="AN94" s="59">
        <v>2000</v>
      </c>
      <c r="AO94" s="62"/>
      <c r="AP94" s="62"/>
      <c r="AQ94" s="59"/>
      <c r="AR94" s="59"/>
      <c r="AS94" s="59"/>
      <c r="AT94" s="189">
        <f>VLOOKUP(B:B,综合进度!B:N,13,0)</f>
        <v>5.1691362621850397e-003</v>
      </c>
      <c r="AU94" s="59">
        <f t="shared" si="2464"/>
        <v>30.8803166475682</v>
      </c>
      <c r="AV94" s="59"/>
      <c r="AW94" s="59"/>
      <c r="AX94" s="59">
        <f t="shared" si="2465"/>
        <v>2768</v>
      </c>
      <c r="AY94" s="59">
        <v>860</v>
      </c>
      <c r="AZ94" s="59">
        <f t="shared" si="2466"/>
        <v>804.91137955334102</v>
      </c>
      <c r="BA94" s="59">
        <f t="shared" si="2467"/>
        <v>1963.0886204466599</v>
      </c>
      <c r="BB94" s="43">
        <f t="shared" si="2432"/>
        <v>2.4388878953805002</v>
      </c>
      <c r="BC94" s="50">
        <v>-1309</v>
      </c>
      <c r="BD94" s="50">
        <f t="shared" si="2468"/>
        <v>654.08862044665898</v>
      </c>
      <c r="BG94" s="340"/>
    </row>
    <row r="95" ht="17" customHeight="1">
      <c r="A95" s="46">
        <v>60</v>
      </c>
      <c r="B95" s="82" t="s">
        <v>141</v>
      </c>
      <c r="C95" s="46" t="s">
        <v>90</v>
      </c>
      <c r="D95" s="46">
        <v>2019</v>
      </c>
      <c r="E95" s="46" t="s">
        <v>91</v>
      </c>
      <c r="F95" s="46" t="s">
        <v>146</v>
      </c>
      <c r="G95" s="73">
        <v>68883</v>
      </c>
      <c r="H95" s="59">
        <f t="shared" si="2441"/>
        <v>61994.699999999997</v>
      </c>
      <c r="I95" s="59">
        <f t="shared" si="2442"/>
        <v>0</v>
      </c>
      <c r="J95" s="59">
        <f t="shared" si="2443"/>
        <v>0</v>
      </c>
      <c r="K95" s="59">
        <f t="shared" si="2444"/>
        <v>0</v>
      </c>
      <c r="L95" s="59">
        <f t="shared" si="2445"/>
        <v>61994.699999999997</v>
      </c>
      <c r="M95" s="59">
        <f t="shared" si="2446"/>
        <v>0</v>
      </c>
      <c r="N95" s="59">
        <v>3634</v>
      </c>
      <c r="O95" s="59">
        <v>3291</v>
      </c>
      <c r="P95" s="59">
        <f t="shared" si="2455"/>
        <v>0</v>
      </c>
      <c r="Q95" s="59"/>
      <c r="R95" s="59"/>
      <c r="S95" s="59"/>
      <c r="T95" s="59"/>
      <c r="U95" s="59">
        <v>1830</v>
      </c>
      <c r="V95" s="59">
        <f t="shared" si="2456"/>
        <v>662.94570714025099</v>
      </c>
      <c r="W95" s="59">
        <v>14061.77</v>
      </c>
      <c r="X95" s="62">
        <f t="shared" si="2457"/>
        <v>0.25766739497371299</v>
      </c>
      <c r="Y95" s="62">
        <f t="shared" si="2458"/>
        <v>1.86852664813088</v>
      </c>
      <c r="Z95" s="62">
        <f t="shared" si="2469"/>
        <v>1.86852664813088</v>
      </c>
      <c r="AA95" s="59">
        <f t="shared" si="2460"/>
        <v>148.02644674521801</v>
      </c>
      <c r="AB95" s="59">
        <v>2349.203</v>
      </c>
      <c r="AC95" s="59">
        <f t="shared" si="2461"/>
        <v>29.638291938609601</v>
      </c>
      <c r="AD95" s="59"/>
      <c r="AE95" s="59"/>
      <c r="AF95" s="59">
        <v>19</v>
      </c>
      <c r="AG95" s="59">
        <f t="shared" si="2447"/>
        <v>19</v>
      </c>
      <c r="AH95" s="59">
        <f t="shared" si="2462"/>
        <v>32.032064343163498</v>
      </c>
      <c r="AI95" s="59">
        <v>1</v>
      </c>
      <c r="AJ95" s="59">
        <f t="shared" si="2448"/>
        <v>1</v>
      </c>
      <c r="AK95" s="59">
        <f t="shared" si="2463"/>
        <v>68.236902902970996</v>
      </c>
      <c r="AL95" s="338"/>
      <c r="AM95" s="59"/>
      <c r="AN95" s="59">
        <v>2000</v>
      </c>
      <c r="AO95" s="62"/>
      <c r="AP95" s="62"/>
      <c r="AQ95" s="59"/>
      <c r="AR95" s="59"/>
      <c r="AS95" s="59"/>
      <c r="AT95" s="189">
        <f>VLOOKUP(B:B,综合进度!B:N,13,0)</f>
        <v>1.2006679896934099e-002</v>
      </c>
      <c r="AU95" s="59">
        <f t="shared" si="2464"/>
        <v>71.727665570686497</v>
      </c>
      <c r="AV95" s="59"/>
      <c r="AW95" s="59"/>
      <c r="AX95" s="59">
        <f t="shared" si="2465"/>
        <v>3013</v>
      </c>
      <c r="AY95" s="59">
        <v>2540</v>
      </c>
      <c r="AZ95" s="59">
        <f t="shared" si="2466"/>
        <v>2377.2964000761499</v>
      </c>
      <c r="BA95" s="59">
        <f t="shared" si="2467"/>
        <v>635.70359992385295</v>
      </c>
      <c r="BB95" s="43">
        <f t="shared" si="2432"/>
        <v>0.26740611726139502</v>
      </c>
      <c r="BC95" s="50">
        <v>-11996</v>
      </c>
      <c r="BD95" s="50">
        <f t="shared" si="2468"/>
        <v>-11360.2964000761</v>
      </c>
      <c r="BG95" s="340"/>
    </row>
    <row r="96" ht="17" customHeight="1">
      <c r="A96" s="46">
        <v>61</v>
      </c>
      <c r="B96" s="82" t="s">
        <v>142</v>
      </c>
      <c r="C96" s="46" t="s">
        <v>93</v>
      </c>
      <c r="D96" s="46">
        <v>2019</v>
      </c>
      <c r="E96" s="46" t="s">
        <v>94</v>
      </c>
      <c r="F96" s="46" t="s">
        <v>146</v>
      </c>
      <c r="G96" s="73">
        <v>83326</v>
      </c>
      <c r="H96" s="59">
        <f t="shared" si="2441"/>
        <v>74993.399999999994</v>
      </c>
      <c r="I96" s="59">
        <f t="shared" si="2442"/>
        <v>0</v>
      </c>
      <c r="J96" s="59">
        <f t="shared" si="2443"/>
        <v>0</v>
      </c>
      <c r="K96" s="59">
        <f t="shared" si="2444"/>
        <v>0</v>
      </c>
      <c r="L96" s="59">
        <f t="shared" si="2445"/>
        <v>74993.399999999994</v>
      </c>
      <c r="M96" s="59">
        <f t="shared" si="2446"/>
        <v>0</v>
      </c>
      <c r="N96" s="59">
        <v>13090</v>
      </c>
      <c r="O96" s="59">
        <v>4689</v>
      </c>
      <c r="P96" s="59">
        <f t="shared" si="2455"/>
        <v>2421.5999999999999</v>
      </c>
      <c r="Q96" s="59">
        <v>0</v>
      </c>
      <c r="R96" s="59">
        <v>3027</v>
      </c>
      <c r="S96" s="59"/>
      <c r="T96" s="59"/>
      <c r="U96" s="59">
        <v>2613</v>
      </c>
      <c r="V96" s="59">
        <f t="shared" si="2456"/>
        <v>1312.30722330036</v>
      </c>
      <c r="W96" s="59">
        <v>11158.030000000001</v>
      </c>
      <c r="X96" s="62">
        <f t="shared" si="2457"/>
        <v>0.72623777234864495</v>
      </c>
      <c r="Y96" s="62">
        <f t="shared" si="2458"/>
        <v>7.0020941058766999</v>
      </c>
      <c r="Z96" s="62">
        <f t="shared" si="2469"/>
        <v>7.0020941058766999</v>
      </c>
      <c r="AA96" s="59">
        <f t="shared" si="2460"/>
        <v>554.71251175646103</v>
      </c>
      <c r="AB96" s="59">
        <v>9406.4346000000005</v>
      </c>
      <c r="AC96" s="59">
        <f t="shared" si="2461"/>
        <v>118.67456953538699</v>
      </c>
      <c r="AD96" s="59"/>
      <c r="AE96" s="59"/>
      <c r="AF96" s="59">
        <v>34</v>
      </c>
      <c r="AG96" s="59">
        <f t="shared" si="2447"/>
        <v>34</v>
      </c>
      <c r="AH96" s="59">
        <f t="shared" si="2462"/>
        <v>57.320536193029497</v>
      </c>
      <c r="AI96" s="59">
        <v>1</v>
      </c>
      <c r="AJ96" s="59">
        <f t="shared" si="2448"/>
        <v>1</v>
      </c>
      <c r="AK96" s="59">
        <f t="shared" si="2463"/>
        <v>68.236902902970996</v>
      </c>
      <c r="AL96" s="338"/>
      <c r="AM96" s="59"/>
      <c r="AN96" s="59">
        <v>1000</v>
      </c>
      <c r="AO96" s="62"/>
      <c r="AP96" s="62"/>
      <c r="AQ96" s="59"/>
      <c r="AR96" s="59"/>
      <c r="AS96" s="59"/>
      <c r="AT96" s="189">
        <f>VLOOKUP(B:B,综合进度!B:N,13,0)</f>
        <v>1.07047504360728e-002</v>
      </c>
      <c r="AU96" s="59">
        <f t="shared" si="2464"/>
        <v>63.949965010089898</v>
      </c>
      <c r="AV96" s="59"/>
      <c r="AW96" s="59"/>
      <c r="AX96" s="59">
        <f t="shared" si="2465"/>
        <v>3175</v>
      </c>
      <c r="AY96" s="59">
        <v>2289</v>
      </c>
      <c r="AZ96" s="59">
        <f t="shared" si="2466"/>
        <v>2142.3745904623202</v>
      </c>
      <c r="BA96" s="59">
        <f t="shared" si="2467"/>
        <v>1032.6254095376801</v>
      </c>
      <c r="BB96" s="43">
        <f t="shared" si="2432"/>
        <v>0.48200039999299898</v>
      </c>
      <c r="BC96" s="50">
        <v>2140</v>
      </c>
      <c r="BD96" s="50">
        <f t="shared" si="2468"/>
        <v>3172.6254095376798</v>
      </c>
      <c r="BF96" s="84"/>
      <c r="BG96" s="339"/>
    </row>
    <row r="97" ht="17" customHeight="1">
      <c r="A97" s="46">
        <v>62</v>
      </c>
      <c r="B97" s="82" t="s">
        <v>143</v>
      </c>
      <c r="C97" s="46" t="s">
        <v>90</v>
      </c>
      <c r="D97" s="46">
        <v>2019</v>
      </c>
      <c r="E97" s="46" t="s">
        <v>91</v>
      </c>
      <c r="F97" s="46"/>
      <c r="G97" s="73">
        <v>72985</v>
      </c>
      <c r="H97" s="59">
        <f t="shared" si="2441"/>
        <v>65686.5</v>
      </c>
      <c r="I97" s="59">
        <f t="shared" si="2442"/>
        <v>0</v>
      </c>
      <c r="J97" s="59">
        <f t="shared" si="2443"/>
        <v>0</v>
      </c>
      <c r="K97" s="59">
        <f t="shared" si="2444"/>
        <v>0</v>
      </c>
      <c r="L97" s="59">
        <f t="shared" si="2445"/>
        <v>65686.5</v>
      </c>
      <c r="M97" s="59">
        <f t="shared" si="2446"/>
        <v>0</v>
      </c>
      <c r="N97" s="59">
        <v>10766</v>
      </c>
      <c r="O97" s="59">
        <v>3714</v>
      </c>
      <c r="P97" s="59">
        <f t="shared" si="2455"/>
        <v>1110</v>
      </c>
      <c r="Q97" s="59">
        <v>1850</v>
      </c>
      <c r="R97" s="59"/>
      <c r="S97" s="59"/>
      <c r="T97" s="59"/>
      <c r="U97" s="59">
        <v>1723</v>
      </c>
      <c r="V97" s="59">
        <f t="shared" si="2456"/>
        <v>1062.55464962478</v>
      </c>
      <c r="W97" s="59">
        <v>11824.01</v>
      </c>
      <c r="X97" s="62">
        <f t="shared" si="2457"/>
        <v>0.61876998944654005</v>
      </c>
      <c r="Y97" s="62">
        <f t="shared" si="2458"/>
        <v>5.1822605386137202</v>
      </c>
      <c r="Z97" s="62">
        <f t="shared" si="2469"/>
        <v>5.1822605386137202</v>
      </c>
      <c r="AA97" s="59">
        <f t="shared" si="2460"/>
        <v>410.54357689054302</v>
      </c>
      <c r="AB97" s="59">
        <v>2098.23</v>
      </c>
      <c r="AC97" s="59">
        <f t="shared" si="2461"/>
        <v>26.471936777855699</v>
      </c>
      <c r="AD97" s="59"/>
      <c r="AE97" s="59"/>
      <c r="AF97" s="59">
        <v>46</v>
      </c>
      <c r="AG97" s="59">
        <f t="shared" si="2447"/>
        <v>46</v>
      </c>
      <c r="AH97" s="59">
        <f t="shared" si="2462"/>
        <v>77.551313672922305</v>
      </c>
      <c r="AI97" s="59">
        <v>1</v>
      </c>
      <c r="AJ97" s="59">
        <f t="shared" si="2448"/>
        <v>1</v>
      </c>
      <c r="AK97" s="59">
        <f t="shared" si="2463"/>
        <v>68.236902902970996</v>
      </c>
      <c r="AL97" s="338"/>
      <c r="AM97" s="59"/>
      <c r="AN97" s="59">
        <v>2000</v>
      </c>
      <c r="AO97" s="62"/>
      <c r="AP97" s="62"/>
      <c r="AQ97" s="59"/>
      <c r="AR97" s="59"/>
      <c r="AS97" s="59"/>
      <c r="AT97" s="189">
        <f>VLOOKUP(B:B,综合进度!B:N,13,0)</f>
        <v>7.4054659999760498e-003</v>
      </c>
      <c r="AU97" s="59">
        <f t="shared" si="2464"/>
        <v>44.2401057745369</v>
      </c>
      <c r="AV97" s="59"/>
      <c r="AW97" s="59"/>
      <c r="AX97" s="59">
        <f t="shared" si="2465"/>
        <v>3690</v>
      </c>
      <c r="AY97" s="59">
        <v>1458</v>
      </c>
      <c r="AZ97" s="59">
        <f t="shared" si="2466"/>
        <v>1364.60557138229</v>
      </c>
      <c r="BA97" s="59">
        <f t="shared" si="2467"/>
        <v>2325.3944286177102</v>
      </c>
      <c r="BB97" s="43">
        <f t="shared" si="2432"/>
        <v>1.7040780701651199</v>
      </c>
      <c r="BC97" s="50">
        <v>-1327</v>
      </c>
      <c r="BD97" s="50">
        <f t="shared" si="2468"/>
        <v>998.39442861770794</v>
      </c>
      <c r="BG97" s="340"/>
    </row>
    <row r="98" s="5" customFormat="1" ht="17" customHeight="1">
      <c r="A98" s="46">
        <v>63</v>
      </c>
      <c r="B98" s="82" t="s">
        <v>144</v>
      </c>
      <c r="C98" s="46" t="s">
        <v>93</v>
      </c>
      <c r="D98" s="46">
        <v>2020</v>
      </c>
      <c r="E98" s="46" t="s">
        <v>94</v>
      </c>
      <c r="F98" s="46"/>
      <c r="G98" s="73">
        <v>140758</v>
      </c>
      <c r="H98" s="59">
        <f t="shared" si="2441"/>
        <v>140758</v>
      </c>
      <c r="I98" s="59">
        <f t="shared" si="2442"/>
        <v>0</v>
      </c>
      <c r="J98" s="59">
        <f t="shared" si="2443"/>
        <v>0</v>
      </c>
      <c r="K98" s="59">
        <f t="shared" si="2444"/>
        <v>0</v>
      </c>
      <c r="L98" s="59">
        <f t="shared" si="2445"/>
        <v>0</v>
      </c>
      <c r="M98" s="59">
        <f t="shared" si="2446"/>
        <v>140758</v>
      </c>
      <c r="N98" s="59">
        <v>20841</v>
      </c>
      <c r="O98" s="59">
        <v>9715</v>
      </c>
      <c r="P98" s="59">
        <f t="shared" si="2455"/>
        <v>4907.1999999999998</v>
      </c>
      <c r="Q98" s="59">
        <v>0</v>
      </c>
      <c r="R98" s="59">
        <v>6134</v>
      </c>
      <c r="S98" s="59"/>
      <c r="T98" s="59"/>
      <c r="U98" s="59">
        <v>0</v>
      </c>
      <c r="V98" s="59">
        <f t="shared" si="2456"/>
        <v>2036.87608593493</v>
      </c>
      <c r="W98" s="59">
        <v>12885.940000000001</v>
      </c>
      <c r="X98" s="62">
        <f t="shared" si="2457"/>
        <v>0.44740859316252002</v>
      </c>
      <c r="Y98" s="62">
        <f t="shared" si="2458"/>
        <v>7.2300781246470098</v>
      </c>
      <c r="Z98" s="62">
        <f t="shared" si="2469"/>
        <v>7.2300781246470098</v>
      </c>
      <c r="AA98" s="59">
        <f t="shared" si="2460"/>
        <v>572.77362115890003</v>
      </c>
      <c r="AB98" s="59">
        <v>5026.9567999999999</v>
      </c>
      <c r="AC98" s="59">
        <f t="shared" si="2461"/>
        <v>63.421685227363902</v>
      </c>
      <c r="AD98" s="59"/>
      <c r="AE98" s="59"/>
      <c r="AF98" s="59">
        <v>34</v>
      </c>
      <c r="AG98" s="59">
        <f t="shared" si="2447"/>
        <v>34</v>
      </c>
      <c r="AH98" s="59">
        <f t="shared" si="2462"/>
        <v>57.320536193029497</v>
      </c>
      <c r="AI98" s="59">
        <v>0.85943204868154199</v>
      </c>
      <c r="AJ98" s="59">
        <f t="shared" si="2448"/>
        <v>0.85943204868154199</v>
      </c>
      <c r="AK98" s="59">
        <f t="shared" si="2463"/>
        <v>58.644981257583801</v>
      </c>
      <c r="AL98" s="338"/>
      <c r="AM98" s="59"/>
      <c r="AN98" s="59">
        <v>1000</v>
      </c>
      <c r="AO98" s="62"/>
      <c r="AP98" s="62"/>
      <c r="AQ98" s="59"/>
      <c r="AR98" s="59"/>
      <c r="AS98" s="59"/>
      <c r="AT98" s="189">
        <f>VLOOKUP(B:B,综合进度!B:N,13,0)</f>
        <v>1.9984983353216301e-002</v>
      </c>
      <c r="AU98" s="59">
        <f t="shared" si="2464"/>
        <v>119.389890852447</v>
      </c>
      <c r="AV98" s="59"/>
      <c r="AW98" s="59"/>
      <c r="AX98" s="59">
        <f t="shared" si="2465"/>
        <v>3908</v>
      </c>
      <c r="AY98" s="59">
        <v>10474</v>
      </c>
      <c r="AZ98" s="59">
        <f t="shared" si="2466"/>
        <v>9803.0718481880194</v>
      </c>
      <c r="BA98" s="59">
        <f t="shared" si="2467"/>
        <v>-5895.0718481880203</v>
      </c>
      <c r="BB98" s="43">
        <f t="shared" si="2432"/>
        <v>-0.601349448364765</v>
      </c>
      <c r="BC98" s="50">
        <v>61</v>
      </c>
      <c r="BD98" s="50">
        <f t="shared" si="2468"/>
        <v>-5834.0718481880203</v>
      </c>
      <c r="BF98" s="341"/>
      <c r="BG98" s="339"/>
    </row>
    <row r="99" ht="17" customHeight="1">
      <c r="A99" s="46">
        <v>64</v>
      </c>
      <c r="B99" s="82" t="s">
        <v>145</v>
      </c>
      <c r="C99" s="46" t="s">
        <v>90</v>
      </c>
      <c r="D99" s="46">
        <v>2019</v>
      </c>
      <c r="E99" s="46" t="s">
        <v>91</v>
      </c>
      <c r="F99" s="46" t="s">
        <v>146</v>
      </c>
      <c r="G99" s="73">
        <v>61080</v>
      </c>
      <c r="H99" s="59">
        <f t="shared" si="2441"/>
        <v>54972</v>
      </c>
      <c r="I99" s="59">
        <f t="shared" si="2442"/>
        <v>0</v>
      </c>
      <c r="J99" s="59">
        <f t="shared" si="2443"/>
        <v>0</v>
      </c>
      <c r="K99" s="59">
        <f t="shared" si="2444"/>
        <v>0</v>
      </c>
      <c r="L99" s="59">
        <f t="shared" si="2445"/>
        <v>54972</v>
      </c>
      <c r="M99" s="59">
        <f t="shared" si="2446"/>
        <v>0</v>
      </c>
      <c r="N99" s="59">
        <v>4140</v>
      </c>
      <c r="O99" s="59">
        <v>5009</v>
      </c>
      <c r="P99" s="59">
        <f t="shared" si="2455"/>
        <v>1117.8</v>
      </c>
      <c r="Q99" s="59">
        <v>1863</v>
      </c>
      <c r="R99" s="59"/>
      <c r="S99" s="59"/>
      <c r="T99" s="59"/>
      <c r="U99" s="59">
        <v>1697</v>
      </c>
      <c r="V99" s="59">
        <f t="shared" si="2456"/>
        <v>663.21455011536796</v>
      </c>
      <c r="W99" s="59">
        <v>11752.120000000001</v>
      </c>
      <c r="X99" s="62">
        <f t="shared" si="2457"/>
        <v>0.63037072657503102</v>
      </c>
      <c r="Y99" s="62">
        <f t="shared" si="2458"/>
        <v>4.1112778787223503</v>
      </c>
      <c r="Z99" s="62">
        <f t="shared" si="2469"/>
        <v>4.1112778787223503</v>
      </c>
      <c r="AA99" s="59">
        <f t="shared" si="2460"/>
        <v>325.69931853969501</v>
      </c>
      <c r="AB99" s="59">
        <v>2035.8699999999999</v>
      </c>
      <c r="AC99" s="59">
        <f t="shared" si="2461"/>
        <v>25.6851831915152</v>
      </c>
      <c r="AD99" s="59"/>
      <c r="AE99" s="59"/>
      <c r="AF99" s="59">
        <v>21</v>
      </c>
      <c r="AG99" s="59">
        <f t="shared" si="2447"/>
        <v>21</v>
      </c>
      <c r="AH99" s="59">
        <f t="shared" si="2462"/>
        <v>35.403860589812297</v>
      </c>
      <c r="AI99" s="59">
        <v>0.98442221177734501</v>
      </c>
      <c r="AJ99" s="59">
        <f t="shared" si="2448"/>
        <v>0.98442221177734501</v>
      </c>
      <c r="AK99" s="59">
        <f t="shared" si="2463"/>
        <v>67.173922880578601</v>
      </c>
      <c r="AL99" s="338"/>
      <c r="AM99" s="59"/>
      <c r="AN99" s="59">
        <v>2000</v>
      </c>
      <c r="AO99" s="62"/>
      <c r="AP99" s="62"/>
      <c r="AQ99" s="59"/>
      <c r="AR99" s="59"/>
      <c r="AS99" s="59"/>
      <c r="AT99" s="189">
        <f>VLOOKUP(B:B,综合进度!B:N,13,0)</f>
        <v>7.0708857557683904e-003</v>
      </c>
      <c r="AU99" s="59">
        <f t="shared" si="2464"/>
        <v>42.241330087245203</v>
      </c>
      <c r="AV99" s="59"/>
      <c r="AW99" s="59"/>
      <c r="AX99" s="59">
        <f t="shared" si="2465"/>
        <v>3159</v>
      </c>
      <c r="AY99" s="59">
        <v>1545</v>
      </c>
      <c r="AZ99" s="59">
        <f t="shared" si="2466"/>
        <v>1446.0326528022199</v>
      </c>
      <c r="BA99" s="59">
        <f t="shared" si="2467"/>
        <v>1712.9673471977801</v>
      </c>
      <c r="BB99" s="43">
        <f t="shared" si="2432"/>
        <v>1.1845979714761401</v>
      </c>
      <c r="BC99" s="50">
        <v>-3986</v>
      </c>
      <c r="BD99" s="50">
        <f t="shared" si="2468"/>
        <v>-2273.0326528022201</v>
      </c>
      <c r="BG99" s="340"/>
    </row>
    <row r="100" s="5" customFormat="1" ht="17" customHeight="1">
      <c r="A100" s="65"/>
      <c r="B100" s="66" t="s">
        <v>147</v>
      </c>
      <c r="C100" s="67">
        <v>1</v>
      </c>
      <c r="D100" s="67"/>
      <c r="E100" s="67"/>
      <c r="F100" s="68"/>
      <c r="G100" s="69">
        <f t="shared" ref="G100:P100" si="2470">G101+G102</f>
        <v>553461</v>
      </c>
      <c r="H100" s="69">
        <f t="shared" si="2470"/>
        <v>496109</v>
      </c>
      <c r="I100" s="69">
        <f t="shared" si="2470"/>
        <v>9933.6000000000004</v>
      </c>
      <c r="J100" s="69">
        <f t="shared" si="2470"/>
        <v>9233</v>
      </c>
      <c r="K100" s="69">
        <f t="shared" si="2470"/>
        <v>112238.39999999999</v>
      </c>
      <c r="L100" s="69">
        <f t="shared" si="2470"/>
        <v>168417</v>
      </c>
      <c r="M100" s="69">
        <f t="shared" si="2470"/>
        <v>196287</v>
      </c>
      <c r="N100" s="69">
        <f t="shared" si="2470"/>
        <v>83924</v>
      </c>
      <c r="O100" s="69">
        <f t="shared" si="2470"/>
        <v>81805</v>
      </c>
      <c r="P100" s="69">
        <f t="shared" si="2470"/>
        <v>3602.4000000000001</v>
      </c>
      <c r="Q100" s="59">
        <v>6004</v>
      </c>
      <c r="R100" s="69">
        <f t="shared" ref="R100:V100" si="2471">R101+R102</f>
        <v>0</v>
      </c>
      <c r="S100" s="69">
        <f t="shared" si="2471"/>
        <v>0</v>
      </c>
      <c r="T100" s="69">
        <f t="shared" si="2471"/>
        <v>0</v>
      </c>
      <c r="U100" s="69">
        <f t="shared" si="2471"/>
        <v>12124</v>
      </c>
      <c r="V100" s="69">
        <f t="shared" si="2471"/>
        <v>8000.4032071948304</v>
      </c>
      <c r="W100" s="69"/>
      <c r="X100" s="69">
        <f t="shared" ref="X100:AC100" si="2472">X101+X102</f>
        <v>5.9942908042898004</v>
      </c>
      <c r="Y100" s="69">
        <f t="shared" si="2472"/>
        <v>38.956899135390898</v>
      </c>
      <c r="Z100" s="69">
        <f t="shared" si="2472"/>
        <v>34.4361887153987</v>
      </c>
      <c r="AA100" s="69">
        <f t="shared" si="2472"/>
        <v>2728.0674108059002</v>
      </c>
      <c r="AB100" s="69">
        <f t="shared" si="2472"/>
        <v>95831.279999999999</v>
      </c>
      <c r="AC100" s="69">
        <f t="shared" si="2472"/>
        <v>1209.0378964655799</v>
      </c>
      <c r="AD100" s="69"/>
      <c r="AE100" s="69"/>
      <c r="AF100" s="69">
        <f t="shared" ref="AF100:AK100" si="2473">AF101+AF102</f>
        <v>244</v>
      </c>
      <c r="AG100" s="69">
        <f t="shared" si="2473"/>
        <v>234</v>
      </c>
      <c r="AH100" s="69">
        <f t="shared" si="2473"/>
        <v>394.50016085790901</v>
      </c>
      <c r="AI100" s="69">
        <f t="shared" si="2473"/>
        <v>9.2901645398063799</v>
      </c>
      <c r="AJ100" s="69">
        <f t="shared" si="2473"/>
        <v>8.8601664789182699</v>
      </c>
      <c r="AK100" s="69">
        <f t="shared" si="2473"/>
        <v>604.59031972610398</v>
      </c>
      <c r="AL100" s="69"/>
      <c r="AM100" s="69"/>
      <c r="AN100" s="69">
        <f t="shared" ref="AN100:AU100" si="2474">AN101+AN102</f>
        <v>11000</v>
      </c>
      <c r="AO100" s="69"/>
      <c r="AP100" s="69"/>
      <c r="AQ100" s="69">
        <f t="shared" si="2474"/>
        <v>0</v>
      </c>
      <c r="AR100" s="69"/>
      <c r="AS100" s="69">
        <f t="shared" si="2474"/>
        <v>0</v>
      </c>
      <c r="AT100" s="403">
        <f t="shared" si="2474"/>
        <v>7.7619547827529806e-002</v>
      </c>
      <c r="AU100" s="69">
        <f t="shared" si="2474"/>
        <v>463.69762633070599</v>
      </c>
      <c r="AV100" s="69"/>
      <c r="AW100" s="71"/>
      <c r="AX100" s="69">
        <f t="shared" ref="AX100:BA100" si="2475">AX101+AX102</f>
        <v>24400</v>
      </c>
      <c r="AY100" s="69">
        <v>38744</v>
      </c>
      <c r="AZ100" s="69">
        <f t="shared" si="2475"/>
        <v>36262.193592342599</v>
      </c>
      <c r="BA100" s="69">
        <f t="shared" si="2475"/>
        <v>-11862.193592342601</v>
      </c>
      <c r="BB100" s="336">
        <f t="shared" si="2432"/>
        <v>-0.32712289073564299</v>
      </c>
      <c r="BC100" s="404">
        <v>-9883</v>
      </c>
      <c r="BD100" s="69">
        <f>BD101+BD102</f>
        <v>-21869.193592342599</v>
      </c>
      <c r="BG100" s="340"/>
    </row>
    <row r="101" s="5" customFormat="1" ht="17" customHeight="1">
      <c r="A101" s="44"/>
      <c r="B101" s="72" t="s">
        <v>148</v>
      </c>
      <c r="C101" s="46">
        <v>2</v>
      </c>
      <c r="D101" s="46"/>
      <c r="E101" s="46"/>
      <c r="F101" s="46"/>
      <c r="G101" s="73"/>
      <c r="H101" s="59">
        <f t="shared" ref="H101:H112" si="2476">SUM(I101:M101)</f>
        <v>0</v>
      </c>
      <c r="I101" s="59">
        <f t="shared" ref="I101:I112" si="2477">IF(D101="",G101*0.6,0)</f>
        <v>0</v>
      </c>
      <c r="J101" s="59">
        <f t="shared" ref="J101:J112" si="2478">IF(D101=2017,G101*0.7,0)</f>
        <v>0</v>
      </c>
      <c r="K101" s="59">
        <f t="shared" ref="K101:K112" si="2479">IF(D101=2018,G101*0.8,0)</f>
        <v>0</v>
      </c>
      <c r="L101" s="59">
        <f t="shared" ref="L101:L112" si="2480">IF(D101=2019,G101*0.9,0)</f>
        <v>0</v>
      </c>
      <c r="M101" s="59">
        <f t="shared" ref="M101:M112" si="2481">IF(D101=2020,G101*1,0)</f>
        <v>0</v>
      </c>
      <c r="N101" s="59"/>
      <c r="O101" s="59"/>
      <c r="P101" s="59">
        <f>L101*0.4+M101*0.6+N101*0.8+O101*1</f>
        <v>0</v>
      </c>
      <c r="Q101" s="59"/>
      <c r="R101" s="59"/>
      <c r="S101" s="59"/>
      <c r="T101" s="59"/>
      <c r="U101" s="59"/>
      <c r="V101" s="59">
        <f>H101/$H$9*134866+N101/$N$9*202299+P101/$P$9*100000+U101/$U$9*34867</f>
        <v>0</v>
      </c>
      <c r="W101" s="59"/>
      <c r="X101" s="62"/>
      <c r="Y101" s="62"/>
      <c r="Z101" s="62"/>
      <c r="AA101" s="59"/>
      <c r="AB101" s="59"/>
      <c r="AC101" s="59"/>
      <c r="AD101" s="59"/>
      <c r="AE101" s="59"/>
      <c r="AF101" s="59"/>
      <c r="AG101" s="59">
        <f t="shared" ref="AG101:AG112" si="2482">AF101</f>
        <v>0</v>
      </c>
      <c r="AH101" s="59">
        <f>AG101/$AG$9*40459.89</f>
        <v>0</v>
      </c>
      <c r="AI101" s="59"/>
      <c r="AJ101" s="59">
        <f t="shared" ref="AJ101:AJ112" si="2483">AI101</f>
        <v>0</v>
      </c>
      <c r="AK101" s="59">
        <f>AJ101/$AJ$9*40459.89</f>
        <v>0</v>
      </c>
      <c r="AL101" s="59"/>
      <c r="AM101" s="59"/>
      <c r="AN101" s="59"/>
      <c r="AO101" s="62"/>
      <c r="AP101" s="62"/>
      <c r="AQ101" s="59"/>
      <c r="AR101" s="59"/>
      <c r="AS101" s="59"/>
      <c r="AT101" s="189"/>
      <c r="AU101" s="59"/>
      <c r="AV101" s="59"/>
      <c r="AW101" s="59"/>
      <c r="AX101" s="59">
        <f>V101+AA101+AC101+AE101+AH101+AK101+AM101+AN101+AQ101+AS101+AU101+AW101</f>
        <v>0</v>
      </c>
      <c r="AY101" s="59"/>
      <c r="AZ101" s="170"/>
      <c r="BA101" s="50"/>
      <c r="BB101" s="43"/>
      <c r="BC101" s="50">
        <v>124</v>
      </c>
      <c r="BD101" s="50"/>
      <c r="BG101" s="340"/>
    </row>
    <row r="102" s="5" customFormat="1" ht="17" customHeight="1">
      <c r="A102" s="75"/>
      <c r="B102" s="76" t="s">
        <v>76</v>
      </c>
      <c r="C102" s="77">
        <v>3</v>
      </c>
      <c r="D102" s="77"/>
      <c r="E102" s="77"/>
      <c r="F102" s="78"/>
      <c r="G102" s="79">
        <f t="shared" ref="G102:P102" si="2484">SUM(G103:G112)</f>
        <v>553461</v>
      </c>
      <c r="H102" s="79">
        <f t="shared" si="2484"/>
        <v>496109</v>
      </c>
      <c r="I102" s="79">
        <f t="shared" si="2484"/>
        <v>9933.6000000000004</v>
      </c>
      <c r="J102" s="79">
        <f t="shared" si="2484"/>
        <v>9233</v>
      </c>
      <c r="K102" s="79">
        <f t="shared" si="2484"/>
        <v>112238.39999999999</v>
      </c>
      <c r="L102" s="79">
        <f t="shared" si="2484"/>
        <v>168417</v>
      </c>
      <c r="M102" s="79">
        <f t="shared" si="2484"/>
        <v>196287</v>
      </c>
      <c r="N102" s="79">
        <f t="shared" si="2484"/>
        <v>83924</v>
      </c>
      <c r="O102" s="79">
        <f t="shared" si="2484"/>
        <v>81805</v>
      </c>
      <c r="P102" s="79">
        <f t="shared" si="2484"/>
        <v>3602.4000000000001</v>
      </c>
      <c r="Q102" s="59">
        <v>6004</v>
      </c>
      <c r="R102" s="79">
        <f t="shared" ref="R102:V102" si="2485">SUM(R103:R112)</f>
        <v>0</v>
      </c>
      <c r="S102" s="79">
        <f t="shared" si="2485"/>
        <v>0</v>
      </c>
      <c r="T102" s="79">
        <f t="shared" si="2485"/>
        <v>0</v>
      </c>
      <c r="U102" s="79">
        <f t="shared" si="2485"/>
        <v>12124</v>
      </c>
      <c r="V102" s="79">
        <f t="shared" si="2485"/>
        <v>8000.4032071948304</v>
      </c>
      <c r="W102" s="79"/>
      <c r="X102" s="79">
        <f t="shared" ref="X102:AC102" si="2486">SUM(X103:X112)</f>
        <v>5.9942908042898004</v>
      </c>
      <c r="Y102" s="79">
        <f t="shared" si="2486"/>
        <v>38.956899135390898</v>
      </c>
      <c r="Z102" s="79">
        <f t="shared" si="2486"/>
        <v>34.4361887153987</v>
      </c>
      <c r="AA102" s="79">
        <f t="shared" si="2486"/>
        <v>2728.0674108059002</v>
      </c>
      <c r="AB102" s="79">
        <f t="shared" si="2486"/>
        <v>95831.279999999999</v>
      </c>
      <c r="AC102" s="79">
        <f t="shared" si="2486"/>
        <v>1209.0378964655799</v>
      </c>
      <c r="AD102" s="79"/>
      <c r="AE102" s="79"/>
      <c r="AF102" s="79">
        <f t="shared" ref="AF102:AK102" si="2487">SUM(AF103:AF112)</f>
        <v>244</v>
      </c>
      <c r="AG102" s="59">
        <f t="shared" si="2487"/>
        <v>234</v>
      </c>
      <c r="AH102" s="59">
        <f t="shared" si="2487"/>
        <v>394.50016085790901</v>
      </c>
      <c r="AI102" s="79">
        <f t="shared" si="2487"/>
        <v>9.2901645398063799</v>
      </c>
      <c r="AJ102" s="59">
        <f t="shared" si="2487"/>
        <v>8.8601664789182699</v>
      </c>
      <c r="AK102" s="59">
        <f t="shared" si="2487"/>
        <v>604.59031972610398</v>
      </c>
      <c r="AL102" s="79"/>
      <c r="AM102" s="79"/>
      <c r="AN102" s="79">
        <f t="shared" ref="AN102:AU102" si="2488">SUM(AN103:AN112)</f>
        <v>11000</v>
      </c>
      <c r="AO102" s="79"/>
      <c r="AP102" s="79"/>
      <c r="AQ102" s="79">
        <f t="shared" si="2488"/>
        <v>0</v>
      </c>
      <c r="AR102" s="79"/>
      <c r="AS102" s="79">
        <f t="shared" si="2488"/>
        <v>0</v>
      </c>
      <c r="AT102" s="405">
        <f t="shared" si="2488"/>
        <v>7.7619547827529806e-002</v>
      </c>
      <c r="AU102" s="79">
        <f t="shared" si="2488"/>
        <v>463.69762633070599</v>
      </c>
      <c r="AV102" s="79"/>
      <c r="AW102" s="81"/>
      <c r="AX102" s="79">
        <f t="shared" ref="AX102:BA102" si="2489">SUM(AX103:AX112)</f>
        <v>24400</v>
      </c>
      <c r="AY102" s="79">
        <v>38744</v>
      </c>
      <c r="AZ102" s="79">
        <f t="shared" si="2489"/>
        <v>36262.193592342599</v>
      </c>
      <c r="BA102" s="79">
        <f t="shared" si="2489"/>
        <v>-11862.193592342601</v>
      </c>
      <c r="BB102" s="337">
        <f t="shared" ref="BB102:BB165" si="2490">BA102/AZ102</f>
        <v>-0.32712289073564299</v>
      </c>
      <c r="BC102" s="406">
        <v>-10007</v>
      </c>
      <c r="BD102" s="79">
        <f>SUM(BD103:BD112)</f>
        <v>-21869.193592342599</v>
      </c>
      <c r="BG102" s="340"/>
    </row>
    <row r="103" ht="17" customHeight="1">
      <c r="A103" s="46">
        <v>65</v>
      </c>
      <c r="B103" s="82" t="s">
        <v>149</v>
      </c>
      <c r="C103" s="46" t="s">
        <v>78</v>
      </c>
      <c r="D103" s="46"/>
      <c r="E103" s="46"/>
      <c r="F103" s="46"/>
      <c r="G103" s="73">
        <v>16556</v>
      </c>
      <c r="H103" s="59">
        <f t="shared" si="2476"/>
        <v>9933.6000000000004</v>
      </c>
      <c r="I103" s="59">
        <f t="shared" si="2477"/>
        <v>9933.6000000000004</v>
      </c>
      <c r="J103" s="59">
        <f t="shared" si="2478"/>
        <v>0</v>
      </c>
      <c r="K103" s="59">
        <f t="shared" si="2479"/>
        <v>0</v>
      </c>
      <c r="L103" s="59">
        <f t="shared" si="2480"/>
        <v>0</v>
      </c>
      <c r="M103" s="59">
        <f t="shared" si="2481"/>
        <v>0</v>
      </c>
      <c r="N103" s="59">
        <v>1047</v>
      </c>
      <c r="O103" s="59">
        <v>1715</v>
      </c>
      <c r="P103" s="59">
        <f t="shared" ref="P103:P112" si="2491">Q103*0.6+R103*0.8+S103*1+T103*1.25</f>
        <v>717</v>
      </c>
      <c r="Q103" s="59">
        <v>1195</v>
      </c>
      <c r="R103" s="59"/>
      <c r="S103" s="59"/>
      <c r="T103" s="59"/>
      <c r="U103" s="59">
        <v>448</v>
      </c>
      <c r="V103" s="59">
        <f t="shared" ref="V103:V112" si="2492">H103/$H$9*298699*0.12+N103/$N$9*298699*0.15+P103/$P$9*298699*0.035+U103/$U$9*298699*0.025</f>
        <v>153.80263049413401</v>
      </c>
      <c r="W103" s="59">
        <v>12525.73</v>
      </c>
      <c r="X103" s="62">
        <f t="shared" ref="X103:X112" si="2493">($W$64-W103)/($W$64-$W$44)</f>
        <v>0.50553491839626197</v>
      </c>
      <c r="Y103" s="62">
        <f t="shared" ref="Y103:Y112" si="2494">(G103+N103)*X103/10000</f>
        <v>0.88989311685293904</v>
      </c>
      <c r="Z103" s="62">
        <f>Y103*0.2</f>
        <v>0.17797862337058801</v>
      </c>
      <c r="AA103" s="59">
        <f t="shared" ref="AA103:AA112" si="2495">Z103/$Z$9*298699*0.12</f>
        <v>14.0996347258453</v>
      </c>
      <c r="AB103" s="59">
        <v>1208</v>
      </c>
      <c r="AC103" s="59">
        <f t="shared" ref="AC103:AC112" si="2496">(AB103/$AB$9*298699*0.03)</f>
        <v>15.240512063810799</v>
      </c>
      <c r="AD103" s="59"/>
      <c r="AE103" s="59"/>
      <c r="AF103" s="59">
        <v>20</v>
      </c>
      <c r="AG103" s="59">
        <f>AF103*0.5</f>
        <v>10</v>
      </c>
      <c r="AH103" s="59">
        <f t="shared" ref="AH103:AH112" si="2497">AG103/$AG$9*298699*0.02</f>
        <v>16.858981233243998</v>
      </c>
      <c r="AI103" s="59">
        <v>0.85999612177622697</v>
      </c>
      <c r="AJ103" s="59">
        <f>AI103*0.5</f>
        <v>0.42999806088811299</v>
      </c>
      <c r="AK103" s="59">
        <f t="shared" ref="AK103:AK112" si="2498">AJ103/$AJ$9*298699*0.02</f>
        <v>29.341735929287999</v>
      </c>
      <c r="AL103" s="338"/>
      <c r="AM103" s="59"/>
      <c r="AN103" s="59"/>
      <c r="AO103" s="62"/>
      <c r="AP103" s="62"/>
      <c r="AQ103" s="59"/>
      <c r="AR103" s="59"/>
      <c r="AS103" s="59"/>
      <c r="AT103" s="189">
        <f>VLOOKUP(B:B,综合进度!B:N,13,0)</f>
        <v>5.6089958291936004e-003</v>
      </c>
      <c r="AU103" s="59">
        <f t="shared" ref="AU103:AU112" si="2499">AT103/$AT$9*298699*0.02</f>
        <v>33.508028903685997</v>
      </c>
      <c r="AV103" s="59"/>
      <c r="AW103" s="59"/>
      <c r="AX103" s="59">
        <f t="shared" ref="AX103:AX112" si="2500">ROUND(V103+AA103+AC103+AN103+AQ103+AS103+AU103+AW103+AH103+AK103,0)</f>
        <v>263</v>
      </c>
      <c r="AY103" s="59">
        <v>8077</v>
      </c>
      <c r="AZ103" s="59">
        <f t="shared" ref="AZ103:AZ112" si="2501">AY103/$AY$9*280243</f>
        <v>7559.6153635492301</v>
      </c>
      <c r="BA103" s="59">
        <f t="shared" ref="BA103:BA112" si="2502">AX103-AZ103</f>
        <v>-7296.6153635492301</v>
      </c>
      <c r="BB103" s="43">
        <f t="shared" si="2490"/>
        <v>-0.96520987016507098</v>
      </c>
      <c r="BC103" s="50">
        <v>1248</v>
      </c>
      <c r="BD103" s="50">
        <f t="shared" ref="BD103:BD112" si="2503">BC103+BA103</f>
        <v>-6048.6153635492301</v>
      </c>
      <c r="BG103" s="340"/>
    </row>
    <row r="104" ht="17" customHeight="1">
      <c r="A104" s="46">
        <v>66</v>
      </c>
      <c r="B104" s="82" t="s">
        <v>150</v>
      </c>
      <c r="C104" s="46" t="s">
        <v>90</v>
      </c>
      <c r="D104" s="46">
        <v>2017</v>
      </c>
      <c r="E104" s="46"/>
      <c r="F104" s="46"/>
      <c r="G104" s="73">
        <v>13190</v>
      </c>
      <c r="H104" s="59">
        <f t="shared" si="2476"/>
        <v>9233</v>
      </c>
      <c r="I104" s="59">
        <f t="shared" si="2477"/>
        <v>0</v>
      </c>
      <c r="J104" s="59">
        <f t="shared" si="2478"/>
        <v>9233</v>
      </c>
      <c r="K104" s="59">
        <f t="shared" si="2479"/>
        <v>0</v>
      </c>
      <c r="L104" s="59">
        <f t="shared" si="2480"/>
        <v>0</v>
      </c>
      <c r="M104" s="59">
        <f t="shared" si="2481"/>
        <v>0</v>
      </c>
      <c r="N104" s="59">
        <v>4423</v>
      </c>
      <c r="O104" s="59">
        <v>1167</v>
      </c>
      <c r="P104" s="59">
        <f t="shared" si="2491"/>
        <v>0</v>
      </c>
      <c r="Q104" s="59"/>
      <c r="R104" s="59"/>
      <c r="S104" s="59"/>
      <c r="T104" s="59"/>
      <c r="U104" s="59">
        <v>369</v>
      </c>
      <c r="V104" s="59">
        <f t="shared" si="2492"/>
        <v>297.54182049221902</v>
      </c>
      <c r="W104" s="59">
        <v>11646.190000000001</v>
      </c>
      <c r="X104" s="62">
        <f t="shared" si="2493"/>
        <v>0.64746442645013202</v>
      </c>
      <c r="Y104" s="62">
        <f t="shared" si="2494"/>
        <v>1.1403790943066201</v>
      </c>
      <c r="Z104" s="62">
        <f t="shared" ref="Z104:Z107" si="2504">Y104*0.5</f>
        <v>0.57018954715330905</v>
      </c>
      <c r="AA104" s="59">
        <f t="shared" si="2495"/>
        <v>45.170954730990402</v>
      </c>
      <c r="AB104" s="59">
        <v>761.5</v>
      </c>
      <c r="AC104" s="59">
        <f t="shared" si="2496"/>
        <v>9.6073261064502393</v>
      </c>
      <c r="AD104" s="59"/>
      <c r="AE104" s="59"/>
      <c r="AF104" s="59">
        <v>10</v>
      </c>
      <c r="AG104" s="59">
        <f t="shared" si="2482"/>
        <v>10</v>
      </c>
      <c r="AH104" s="59">
        <f t="shared" si="2497"/>
        <v>16.858981233243998</v>
      </c>
      <c r="AI104" s="59">
        <v>1</v>
      </c>
      <c r="AJ104" s="59">
        <f t="shared" si="2483"/>
        <v>1</v>
      </c>
      <c r="AK104" s="59">
        <f t="shared" si="2498"/>
        <v>68.236902902970996</v>
      </c>
      <c r="AL104" s="338"/>
      <c r="AM104" s="59"/>
      <c r="AN104" s="59"/>
      <c r="AO104" s="62"/>
      <c r="AP104" s="62"/>
      <c r="AQ104" s="59"/>
      <c r="AR104" s="59"/>
      <c r="AS104" s="59"/>
      <c r="AT104" s="189">
        <f>VLOOKUP(B:B,综合进度!B:N,13,0)</f>
        <v>4.4892785693018298e-003</v>
      </c>
      <c r="AU104" s="59">
        <f t="shared" si="2499"/>
        <v>26.818860387437802</v>
      </c>
      <c r="AV104" s="59"/>
      <c r="AW104" s="59"/>
      <c r="AX104" s="59">
        <f t="shared" si="2500"/>
        <v>464</v>
      </c>
      <c r="AY104" s="59">
        <v>4533</v>
      </c>
      <c r="AZ104" s="59">
        <f t="shared" si="2501"/>
        <v>4242.6317250177799</v>
      </c>
      <c r="BA104" s="59">
        <f t="shared" si="2502"/>
        <v>-3778.6317250177799</v>
      </c>
      <c r="BB104" s="43">
        <f t="shared" si="2490"/>
        <v>-0.89063392015293197</v>
      </c>
      <c r="BC104" s="50">
        <v>2896</v>
      </c>
      <c r="BD104" s="50">
        <f t="shared" si="2503"/>
        <v>-882.63172501778399</v>
      </c>
      <c r="BG104" s="340"/>
    </row>
    <row r="105" ht="17" customHeight="1">
      <c r="A105" s="46">
        <v>67</v>
      </c>
      <c r="B105" s="82" t="s">
        <v>151</v>
      </c>
      <c r="C105" s="46" t="s">
        <v>90</v>
      </c>
      <c r="D105" s="46">
        <v>2019</v>
      </c>
      <c r="E105" s="46" t="s">
        <v>91</v>
      </c>
      <c r="F105" s="46"/>
      <c r="G105" s="73">
        <v>91117</v>
      </c>
      <c r="H105" s="59">
        <f t="shared" si="2476"/>
        <v>82005.300000000003</v>
      </c>
      <c r="I105" s="59">
        <f t="shared" si="2477"/>
        <v>0</v>
      </c>
      <c r="J105" s="59">
        <f t="shared" si="2478"/>
        <v>0</v>
      </c>
      <c r="K105" s="59">
        <f t="shared" si="2479"/>
        <v>0</v>
      </c>
      <c r="L105" s="59">
        <f t="shared" si="2480"/>
        <v>82005.300000000003</v>
      </c>
      <c r="M105" s="59">
        <f t="shared" si="2481"/>
        <v>0</v>
      </c>
      <c r="N105" s="59">
        <v>11591</v>
      </c>
      <c r="O105" s="59">
        <v>17710</v>
      </c>
      <c r="P105" s="59">
        <f t="shared" si="2491"/>
        <v>0</v>
      </c>
      <c r="Q105" s="59"/>
      <c r="R105" s="59"/>
      <c r="S105" s="59"/>
      <c r="T105" s="59"/>
      <c r="U105" s="59">
        <v>2679</v>
      </c>
      <c r="V105" s="59">
        <f t="shared" si="2492"/>
        <v>1228.9231095841401</v>
      </c>
      <c r="W105" s="59">
        <v>11955.92</v>
      </c>
      <c r="X105" s="62">
        <f t="shared" si="2493"/>
        <v>0.59748395196400905</v>
      </c>
      <c r="Y105" s="62">
        <f t="shared" si="2494"/>
        <v>6.1366381738319404</v>
      </c>
      <c r="Z105" s="62">
        <f t="shared" ref="Z105:Z112" si="2505">Y105*1</f>
        <v>6.1366381738319404</v>
      </c>
      <c r="AA105" s="59">
        <f t="shared" si="2495"/>
        <v>486.15027499986599</v>
      </c>
      <c r="AB105" s="59">
        <v>6045</v>
      </c>
      <c r="AC105" s="59">
        <f t="shared" si="2496"/>
        <v>76.265641908721904</v>
      </c>
      <c r="AD105" s="59"/>
      <c r="AE105" s="59"/>
      <c r="AF105" s="59">
        <v>73</v>
      </c>
      <c r="AG105" s="59">
        <f t="shared" si="2482"/>
        <v>73</v>
      </c>
      <c r="AH105" s="59">
        <f t="shared" si="2497"/>
        <v>123.070563002681</v>
      </c>
      <c r="AI105" s="59">
        <v>1</v>
      </c>
      <c r="AJ105" s="59">
        <f t="shared" si="2483"/>
        <v>1</v>
      </c>
      <c r="AK105" s="59">
        <f t="shared" si="2498"/>
        <v>68.236902902970996</v>
      </c>
      <c r="AL105" s="338"/>
      <c r="AM105" s="59"/>
      <c r="AN105" s="59">
        <v>2000</v>
      </c>
      <c r="AO105" s="62"/>
      <c r="AP105" s="62"/>
      <c r="AQ105" s="59"/>
      <c r="AR105" s="59"/>
      <c r="AS105" s="59"/>
      <c r="AT105" s="189">
        <f>VLOOKUP(B:B,综合进度!B:N,13,0)</f>
        <v>9.4803419070796108e-003</v>
      </c>
      <c r="AU105" s="59">
        <f t="shared" si="2499"/>
        <v>56.635372946055398</v>
      </c>
      <c r="AV105" s="59"/>
      <c r="AW105" s="59"/>
      <c r="AX105" s="59">
        <f t="shared" si="2500"/>
        <v>4039</v>
      </c>
      <c r="AY105" s="59">
        <v>3237</v>
      </c>
      <c r="AZ105" s="59">
        <f t="shared" si="2501"/>
        <v>3029.6489949001898</v>
      </c>
      <c r="BA105" s="59">
        <f t="shared" si="2502"/>
        <v>1009.35100509981</v>
      </c>
      <c r="BB105" s="43">
        <f t="shared" si="2490"/>
        <v>0.333157737678143</v>
      </c>
      <c r="BC105" s="50">
        <v>-2878</v>
      </c>
      <c r="BD105" s="50">
        <f t="shared" si="2503"/>
        <v>-1868.64899490019</v>
      </c>
      <c r="BG105" s="340"/>
    </row>
    <row r="106" ht="17" customHeight="1">
      <c r="A106" s="46">
        <v>68</v>
      </c>
      <c r="B106" s="82" t="s">
        <v>153</v>
      </c>
      <c r="C106" s="46" t="s">
        <v>90</v>
      </c>
      <c r="D106" s="46">
        <v>2018</v>
      </c>
      <c r="E106" s="46"/>
      <c r="F106" s="46"/>
      <c r="G106" s="73">
        <v>49007</v>
      </c>
      <c r="H106" s="59">
        <f t="shared" si="2476"/>
        <v>39205.599999999999</v>
      </c>
      <c r="I106" s="59">
        <f t="shared" si="2477"/>
        <v>0</v>
      </c>
      <c r="J106" s="59">
        <f t="shared" si="2478"/>
        <v>0</v>
      </c>
      <c r="K106" s="59">
        <f t="shared" si="2479"/>
        <v>39205.599999999999</v>
      </c>
      <c r="L106" s="59">
        <f t="shared" si="2480"/>
        <v>0</v>
      </c>
      <c r="M106" s="59">
        <f t="shared" si="2481"/>
        <v>0</v>
      </c>
      <c r="N106" s="59">
        <v>8904</v>
      </c>
      <c r="O106" s="59">
        <v>14292</v>
      </c>
      <c r="P106" s="59">
        <f t="shared" si="2491"/>
        <v>513.60000000000002</v>
      </c>
      <c r="Q106" s="59">
        <v>856</v>
      </c>
      <c r="R106" s="59"/>
      <c r="S106" s="59"/>
      <c r="T106" s="59"/>
      <c r="U106" s="59">
        <v>1196</v>
      </c>
      <c r="V106" s="59">
        <f t="shared" si="2492"/>
        <v>763.05610138038503</v>
      </c>
      <c r="W106" s="59">
        <v>11578.01</v>
      </c>
      <c r="X106" s="62">
        <f t="shared" si="2493"/>
        <v>0.65846648873168101</v>
      </c>
      <c r="Y106" s="62">
        <f t="shared" si="2494"/>
        <v>3.81324528289404</v>
      </c>
      <c r="Z106" s="62">
        <f t="shared" si="2504"/>
        <v>1.90662264144702</v>
      </c>
      <c r="AA106" s="59">
        <f t="shared" si="2495"/>
        <v>151.04444733485801</v>
      </c>
      <c r="AB106" s="59">
        <v>3279.4400000000001</v>
      </c>
      <c r="AC106" s="59">
        <f t="shared" si="2496"/>
        <v>41.374457684224801</v>
      </c>
      <c r="AD106" s="59"/>
      <c r="AE106" s="59"/>
      <c r="AF106" s="59">
        <v>56</v>
      </c>
      <c r="AG106" s="59">
        <f t="shared" si="2482"/>
        <v>56</v>
      </c>
      <c r="AH106" s="59">
        <f t="shared" si="2497"/>
        <v>94.4102949061662</v>
      </c>
      <c r="AI106" s="59">
        <v>0.87116131309565803</v>
      </c>
      <c r="AJ106" s="59">
        <f t="shared" si="2483"/>
        <v>0.87116131309565803</v>
      </c>
      <c r="AK106" s="59">
        <f t="shared" si="2498"/>
        <v>59.445349934533098</v>
      </c>
      <c r="AL106" s="338"/>
      <c r="AM106" s="59"/>
      <c r="AN106" s="59"/>
      <c r="AO106" s="62"/>
      <c r="AP106" s="62"/>
      <c r="AQ106" s="59"/>
      <c r="AR106" s="59"/>
      <c r="AS106" s="59"/>
      <c r="AT106" s="189">
        <f>VLOOKUP(B:B,综合进度!B:N,13,0)</f>
        <v>4.9627188062707703e-003</v>
      </c>
      <c r="AU106" s="59">
        <f t="shared" si="2499"/>
        <v>29.6471828942854</v>
      </c>
      <c r="AV106" s="59"/>
      <c r="AW106" s="59"/>
      <c r="AX106" s="59">
        <f t="shared" si="2500"/>
        <v>1139</v>
      </c>
      <c r="AY106" s="59">
        <v>1988</v>
      </c>
      <c r="AZ106" s="59">
        <f t="shared" si="2501"/>
        <v>1860.65560761865</v>
      </c>
      <c r="BA106" s="59">
        <f t="shared" si="2502"/>
        <v>-721.65560761865299</v>
      </c>
      <c r="BB106" s="43">
        <f t="shared" si="2490"/>
        <v>-0.38785017746634998</v>
      </c>
      <c r="BC106" s="50">
        <v>2135</v>
      </c>
      <c r="BD106" s="50">
        <f t="shared" si="2503"/>
        <v>1413.34439238135</v>
      </c>
      <c r="BG106" s="340"/>
    </row>
    <row r="107" ht="17" customHeight="1">
      <c r="A107" s="46">
        <v>69</v>
      </c>
      <c r="B107" s="82" t="s">
        <v>154</v>
      </c>
      <c r="C107" s="46" t="s">
        <v>90</v>
      </c>
      <c r="D107" s="46">
        <v>2018</v>
      </c>
      <c r="E107" s="46"/>
      <c r="F107" s="46"/>
      <c r="G107" s="73">
        <v>33371</v>
      </c>
      <c r="H107" s="59">
        <f t="shared" si="2476"/>
        <v>26696.799999999999</v>
      </c>
      <c r="I107" s="59">
        <f t="shared" si="2477"/>
        <v>0</v>
      </c>
      <c r="J107" s="59">
        <f t="shared" si="2478"/>
        <v>0</v>
      </c>
      <c r="K107" s="59">
        <f t="shared" si="2479"/>
        <v>26696.799999999999</v>
      </c>
      <c r="L107" s="59">
        <f t="shared" si="2480"/>
        <v>0</v>
      </c>
      <c r="M107" s="59">
        <f t="shared" si="2481"/>
        <v>0</v>
      </c>
      <c r="N107" s="59">
        <v>4668</v>
      </c>
      <c r="O107" s="59">
        <v>10988</v>
      </c>
      <c r="P107" s="59">
        <f t="shared" si="2491"/>
        <v>0</v>
      </c>
      <c r="Q107" s="59"/>
      <c r="R107" s="59"/>
      <c r="S107" s="59"/>
      <c r="T107" s="59"/>
      <c r="U107" s="59">
        <v>988</v>
      </c>
      <c r="V107" s="59">
        <f t="shared" si="2492"/>
        <v>450.63140952694198</v>
      </c>
      <c r="W107" s="59">
        <v>11318.610000000001</v>
      </c>
      <c r="X107" s="62">
        <f t="shared" si="2493"/>
        <v>0.70032531765267803</v>
      </c>
      <c r="Y107" s="62">
        <f t="shared" si="2494"/>
        <v>2.6639674758190202</v>
      </c>
      <c r="Z107" s="62">
        <f t="shared" si="2504"/>
        <v>1.3319837379095101</v>
      </c>
      <c r="AA107" s="59">
        <f t="shared" si="2495"/>
        <v>105.521010386654</v>
      </c>
      <c r="AB107" s="59">
        <v>3972.9000000000001</v>
      </c>
      <c r="AC107" s="59">
        <f t="shared" si="2496"/>
        <v>50.123369518471698</v>
      </c>
      <c r="AD107" s="59"/>
      <c r="AE107" s="59"/>
      <c r="AF107" s="59">
        <v>8</v>
      </c>
      <c r="AG107" s="59">
        <f t="shared" si="2482"/>
        <v>8</v>
      </c>
      <c r="AH107" s="59">
        <f t="shared" si="2497"/>
        <v>13.487184986595199</v>
      </c>
      <c r="AI107" s="59">
        <v>1</v>
      </c>
      <c r="AJ107" s="59">
        <f t="shared" si="2483"/>
        <v>1</v>
      </c>
      <c r="AK107" s="59">
        <f t="shared" si="2498"/>
        <v>68.236902902970996</v>
      </c>
      <c r="AL107" s="338"/>
      <c r="AM107" s="59"/>
      <c r="AN107" s="59"/>
      <c r="AO107" s="62"/>
      <c r="AP107" s="62"/>
      <c r="AQ107" s="59"/>
      <c r="AR107" s="59"/>
      <c r="AS107" s="59"/>
      <c r="AT107" s="189">
        <f>VLOOKUP(B:B,综合进度!B:N,13,0)</f>
        <v>4.1973680467494497e-003</v>
      </c>
      <c r="AU107" s="59">
        <f t="shared" si="2499"/>
        <v>25.074992763920299</v>
      </c>
      <c r="AV107" s="59"/>
      <c r="AW107" s="59"/>
      <c r="AX107" s="59">
        <f t="shared" si="2500"/>
        <v>713</v>
      </c>
      <c r="AY107" s="59">
        <v>1134</v>
      </c>
      <c r="AZ107" s="59">
        <f t="shared" si="2501"/>
        <v>1061.35988885289</v>
      </c>
      <c r="BA107" s="59">
        <f t="shared" si="2502"/>
        <v>-348.35988885289402</v>
      </c>
      <c r="BB107" s="43">
        <f t="shared" si="2490"/>
        <v>-0.32822032612274199</v>
      </c>
      <c r="BC107" s="50">
        <v>1243</v>
      </c>
      <c r="BD107" s="50">
        <f t="shared" si="2503"/>
        <v>894.64011114710604</v>
      </c>
      <c r="BG107" s="340"/>
    </row>
    <row r="108" ht="17" customHeight="1">
      <c r="A108" s="46">
        <v>70</v>
      </c>
      <c r="B108" s="82" t="s">
        <v>152</v>
      </c>
      <c r="C108" s="46" t="s">
        <v>90</v>
      </c>
      <c r="D108" s="46">
        <v>2019</v>
      </c>
      <c r="E108" s="46" t="s">
        <v>91</v>
      </c>
      <c r="F108" s="46"/>
      <c r="G108" s="73">
        <v>60317</v>
      </c>
      <c r="H108" s="59">
        <f t="shared" si="2476"/>
        <v>54285.300000000003</v>
      </c>
      <c r="I108" s="59">
        <f t="shared" si="2477"/>
        <v>0</v>
      </c>
      <c r="J108" s="59">
        <f t="shared" si="2478"/>
        <v>0</v>
      </c>
      <c r="K108" s="59">
        <f t="shared" si="2479"/>
        <v>0</v>
      </c>
      <c r="L108" s="59">
        <f t="shared" si="2480"/>
        <v>54285.300000000003</v>
      </c>
      <c r="M108" s="59">
        <f t="shared" si="2481"/>
        <v>0</v>
      </c>
      <c r="N108" s="59">
        <v>9511</v>
      </c>
      <c r="O108" s="59">
        <v>8913</v>
      </c>
      <c r="P108" s="59">
        <f t="shared" si="2491"/>
        <v>640.20000000000005</v>
      </c>
      <c r="Q108" s="59">
        <v>1067</v>
      </c>
      <c r="R108" s="59"/>
      <c r="S108" s="59"/>
      <c r="T108" s="59"/>
      <c r="U108" s="59">
        <v>2232</v>
      </c>
      <c r="V108" s="59">
        <f t="shared" si="2492"/>
        <v>943.31343619008499</v>
      </c>
      <c r="W108" s="59">
        <v>11682.860000000001</v>
      </c>
      <c r="X108" s="62">
        <f t="shared" si="2493"/>
        <v>0.64154706617051405</v>
      </c>
      <c r="Y108" s="62">
        <f t="shared" si="2494"/>
        <v>4.4797948536554699</v>
      </c>
      <c r="Z108" s="62">
        <f t="shared" si="2505"/>
        <v>4.4797948536554699</v>
      </c>
      <c r="AA108" s="59">
        <f t="shared" si="2495"/>
        <v>354.89358152717301</v>
      </c>
      <c r="AB108" s="59">
        <v>12501</v>
      </c>
      <c r="AC108" s="59">
        <f t="shared" si="2496"/>
        <v>157.71659048816099</v>
      </c>
      <c r="AD108" s="59"/>
      <c r="AE108" s="59"/>
      <c r="AF108" s="59">
        <v>36</v>
      </c>
      <c r="AG108" s="59">
        <f t="shared" si="2482"/>
        <v>36</v>
      </c>
      <c r="AH108" s="59">
        <f t="shared" si="2497"/>
        <v>60.692332439678303</v>
      </c>
      <c r="AI108" s="59">
        <v>0.78000000000000003</v>
      </c>
      <c r="AJ108" s="59">
        <f t="shared" si="2483"/>
        <v>0.78000000000000003</v>
      </c>
      <c r="AK108" s="59">
        <f t="shared" si="2498"/>
        <v>53.2247842643173</v>
      </c>
      <c r="AL108" s="338"/>
      <c r="AM108" s="59"/>
      <c r="AN108" s="59">
        <v>2000</v>
      </c>
      <c r="AO108" s="62"/>
      <c r="AP108" s="62"/>
      <c r="AQ108" s="59"/>
      <c r="AR108" s="59"/>
      <c r="AS108" s="59"/>
      <c r="AT108" s="189">
        <f>VLOOKUP(B:B,综合进度!B:N,13,0)</f>
        <v>6.88219712094387e-003</v>
      </c>
      <c r="AU108" s="59">
        <f t="shared" si="2499"/>
        <v>41.114107956576198</v>
      </c>
      <c r="AV108" s="59"/>
      <c r="AW108" s="59"/>
      <c r="AX108" s="59">
        <f t="shared" si="2500"/>
        <v>3611</v>
      </c>
      <c r="AY108" s="59">
        <v>1648</v>
      </c>
      <c r="AZ108" s="59">
        <f t="shared" si="2501"/>
        <v>1542.4348296557</v>
      </c>
      <c r="BA108" s="59">
        <f t="shared" si="2502"/>
        <v>2068.5651703443</v>
      </c>
      <c r="BB108" s="43">
        <f t="shared" si="2490"/>
        <v>1.34110377344502</v>
      </c>
      <c r="BC108" s="50">
        <v>347</v>
      </c>
      <c r="BD108" s="50">
        <f t="shared" si="2503"/>
        <v>2415.5651703443</v>
      </c>
      <c r="BG108" s="340"/>
    </row>
    <row r="109" ht="17" customHeight="1">
      <c r="A109" s="46">
        <v>71</v>
      </c>
      <c r="B109" s="82" t="s">
        <v>155</v>
      </c>
      <c r="C109" s="46" t="s">
        <v>93</v>
      </c>
      <c r="D109" s="46">
        <v>2019</v>
      </c>
      <c r="E109" s="46" t="s">
        <v>91</v>
      </c>
      <c r="F109" s="46" t="s">
        <v>146</v>
      </c>
      <c r="G109" s="73">
        <v>35696</v>
      </c>
      <c r="H109" s="59">
        <f t="shared" si="2476"/>
        <v>32126.400000000001</v>
      </c>
      <c r="I109" s="59">
        <f t="shared" si="2477"/>
        <v>0</v>
      </c>
      <c r="J109" s="59">
        <f t="shared" si="2478"/>
        <v>0</v>
      </c>
      <c r="K109" s="59">
        <f t="shared" si="2479"/>
        <v>0</v>
      </c>
      <c r="L109" s="59">
        <f t="shared" si="2480"/>
        <v>32126.400000000001</v>
      </c>
      <c r="M109" s="59">
        <f t="shared" si="2481"/>
        <v>0</v>
      </c>
      <c r="N109" s="59">
        <v>3264</v>
      </c>
      <c r="O109" s="59">
        <v>9378</v>
      </c>
      <c r="P109" s="59">
        <f t="shared" si="2491"/>
        <v>0</v>
      </c>
      <c r="Q109" s="59"/>
      <c r="R109" s="59"/>
      <c r="S109" s="59"/>
      <c r="T109" s="59"/>
      <c r="U109" s="59">
        <v>838</v>
      </c>
      <c r="V109" s="59">
        <f t="shared" si="2492"/>
        <v>406.94206507709799</v>
      </c>
      <c r="W109" s="59">
        <v>12061.309999999999</v>
      </c>
      <c r="X109" s="62">
        <f t="shared" si="2493"/>
        <v>0.58047739074587501</v>
      </c>
      <c r="Y109" s="62">
        <f t="shared" si="2494"/>
        <v>2.26153991434593</v>
      </c>
      <c r="Z109" s="62">
        <f t="shared" si="2505"/>
        <v>2.26153991434593</v>
      </c>
      <c r="AA109" s="59">
        <f t="shared" si="2495"/>
        <v>179.16132907603199</v>
      </c>
      <c r="AB109" s="59">
        <v>1910.5999999999999</v>
      </c>
      <c r="AC109" s="59">
        <f t="shared" si="2496"/>
        <v>24.1047370439709</v>
      </c>
      <c r="AD109" s="59"/>
      <c r="AE109" s="59"/>
      <c r="AF109" s="59">
        <v>2</v>
      </c>
      <c r="AG109" s="59">
        <f t="shared" si="2482"/>
        <v>2</v>
      </c>
      <c r="AH109" s="59">
        <f t="shared" si="2497"/>
        <v>3.3717962466487901</v>
      </c>
      <c r="AI109" s="59">
        <v>1</v>
      </c>
      <c r="AJ109" s="59">
        <f t="shared" si="2483"/>
        <v>1</v>
      </c>
      <c r="AK109" s="59">
        <f t="shared" si="2498"/>
        <v>68.236902902970996</v>
      </c>
      <c r="AL109" s="338"/>
      <c r="AM109" s="59"/>
      <c r="AN109" s="59">
        <v>2000</v>
      </c>
      <c r="AO109" s="62"/>
      <c r="AP109" s="62"/>
      <c r="AQ109" s="59"/>
      <c r="AR109" s="59"/>
      <c r="AS109" s="59"/>
      <c r="AT109" s="189">
        <f>VLOOKUP(B:B,综合进度!B:N,13,0)</f>
        <v>8.4229372391856697e-003</v>
      </c>
      <c r="AU109" s="59">
        <f t="shared" si="2499"/>
        <v>50.318458608150401</v>
      </c>
      <c r="AV109" s="59"/>
      <c r="AW109" s="59"/>
      <c r="AX109" s="59">
        <f t="shared" si="2500"/>
        <v>2732</v>
      </c>
      <c r="AY109" s="59">
        <v>3791</v>
      </c>
      <c r="AZ109" s="59">
        <f t="shared" si="2501"/>
        <v>3548.16167428688</v>
      </c>
      <c r="BA109" s="59">
        <f t="shared" si="2502"/>
        <v>-816.161674286878</v>
      </c>
      <c r="BB109" s="43">
        <f t="shared" si="2490"/>
        <v>-0.23002381210571901</v>
      </c>
      <c r="BC109" s="50">
        <v>-5973</v>
      </c>
      <c r="BD109" s="50">
        <f t="shared" si="2503"/>
        <v>-6789.16167428688</v>
      </c>
      <c r="BG109" s="340"/>
    </row>
    <row r="110" ht="17" customHeight="1">
      <c r="A110" s="46">
        <v>72</v>
      </c>
      <c r="B110" s="82" t="s">
        <v>157</v>
      </c>
      <c r="C110" s="46" t="s">
        <v>93</v>
      </c>
      <c r="D110" s="46">
        <v>2020</v>
      </c>
      <c r="E110" s="46" t="s">
        <v>94</v>
      </c>
      <c r="F110" s="46" t="s">
        <v>146</v>
      </c>
      <c r="G110" s="73">
        <v>196287</v>
      </c>
      <c r="H110" s="59">
        <f t="shared" si="2476"/>
        <v>196287</v>
      </c>
      <c r="I110" s="59">
        <f t="shared" si="2477"/>
        <v>0</v>
      </c>
      <c r="J110" s="59">
        <f t="shared" si="2478"/>
        <v>0</v>
      </c>
      <c r="K110" s="59">
        <f t="shared" si="2479"/>
        <v>0</v>
      </c>
      <c r="L110" s="59">
        <f t="shared" si="2480"/>
        <v>0</v>
      </c>
      <c r="M110" s="59">
        <f t="shared" si="2481"/>
        <v>196287</v>
      </c>
      <c r="N110" s="59">
        <v>32467</v>
      </c>
      <c r="O110" s="59">
        <v>17210</v>
      </c>
      <c r="P110" s="59">
        <f t="shared" si="2491"/>
        <v>1731.5999999999999</v>
      </c>
      <c r="Q110" s="59">
        <v>2886</v>
      </c>
      <c r="R110" s="59"/>
      <c r="S110" s="59"/>
      <c r="T110" s="59"/>
      <c r="U110" s="59">
        <v>2533</v>
      </c>
      <c r="V110" s="59">
        <f t="shared" si="2492"/>
        <v>3020.9510218263699</v>
      </c>
      <c r="W110" s="59">
        <v>11840.91</v>
      </c>
      <c r="X110" s="62">
        <f t="shared" si="2493"/>
        <v>0.61604287221922804</v>
      </c>
      <c r="Y110" s="62">
        <f t="shared" si="2494"/>
        <v>14.092227119163701</v>
      </c>
      <c r="Z110" s="62">
        <f t="shared" si="2505"/>
        <v>14.092227119163701</v>
      </c>
      <c r="AA110" s="59">
        <f t="shared" si="2495"/>
        <v>1116.3995489510901</v>
      </c>
      <c r="AB110" s="59">
        <v>61435.459999999999</v>
      </c>
      <c r="AC110" s="59">
        <f t="shared" si="2496"/>
        <v>775.08929575808202</v>
      </c>
      <c r="AD110" s="59"/>
      <c r="AE110" s="59"/>
      <c r="AF110" s="59">
        <v>31</v>
      </c>
      <c r="AG110" s="59">
        <f t="shared" si="2482"/>
        <v>31</v>
      </c>
      <c r="AH110" s="59">
        <f t="shared" si="2497"/>
        <v>52.262841823056299</v>
      </c>
      <c r="AI110" s="59">
        <v>0.97077488985003402</v>
      </c>
      <c r="AJ110" s="59">
        <f t="shared" si="2483"/>
        <v>0.97077488985003402</v>
      </c>
      <c r="AK110" s="59">
        <f t="shared" si="2498"/>
        <v>66.242671899339101</v>
      </c>
      <c r="AL110" s="338"/>
      <c r="AM110" s="59"/>
      <c r="AN110" s="59">
        <v>1000</v>
      </c>
      <c r="AO110" s="62"/>
      <c r="AP110" s="62"/>
      <c r="AQ110" s="59"/>
      <c r="AR110" s="59"/>
      <c r="AS110" s="59"/>
      <c r="AT110" s="189">
        <f>VLOOKUP(B:B,综合进度!B:N,13,0)</f>
        <v>1.8018670809811e-002</v>
      </c>
      <c r="AU110" s="59">
        <f t="shared" si="2499"/>
        <v>107.643179044395</v>
      </c>
      <c r="AV110" s="59"/>
      <c r="AW110" s="59"/>
      <c r="AX110" s="59">
        <f t="shared" si="2500"/>
        <v>6139</v>
      </c>
      <c r="AY110" s="59">
        <v>5787</v>
      </c>
      <c r="AZ110" s="59">
        <f t="shared" si="2501"/>
        <v>5416.3048296223096</v>
      </c>
      <c r="BA110" s="59">
        <f t="shared" si="2502"/>
        <v>722.69517037769299</v>
      </c>
      <c r="BB110" s="43">
        <f t="shared" si="2490"/>
        <v>0.13342956002498299</v>
      </c>
      <c r="BC110" s="50">
        <v>1522</v>
      </c>
      <c r="BD110" s="50">
        <f t="shared" si="2503"/>
        <v>2244.6951703776899</v>
      </c>
      <c r="BF110" s="84"/>
      <c r="BG110" s="339"/>
    </row>
    <row r="111" ht="17" customHeight="1">
      <c r="A111" s="46">
        <v>73</v>
      </c>
      <c r="B111" s="82" t="s">
        <v>156</v>
      </c>
      <c r="C111" s="46" t="s">
        <v>90</v>
      </c>
      <c r="D111" s="46">
        <v>2018</v>
      </c>
      <c r="E111" s="46" t="s">
        <v>91</v>
      </c>
      <c r="F111" s="46" t="s">
        <v>146</v>
      </c>
      <c r="G111" s="73">
        <v>28213</v>
      </c>
      <c r="H111" s="59">
        <f t="shared" si="2476"/>
        <v>22570.400000000001</v>
      </c>
      <c r="I111" s="59">
        <f t="shared" si="2477"/>
        <v>0</v>
      </c>
      <c r="J111" s="59">
        <f t="shared" si="2478"/>
        <v>0</v>
      </c>
      <c r="K111" s="59">
        <f t="shared" si="2479"/>
        <v>22570.400000000001</v>
      </c>
      <c r="L111" s="59">
        <f t="shared" si="2480"/>
        <v>0</v>
      </c>
      <c r="M111" s="59">
        <f t="shared" si="2481"/>
        <v>0</v>
      </c>
      <c r="N111" s="59">
        <v>3605</v>
      </c>
      <c r="O111" s="59">
        <v>214</v>
      </c>
      <c r="P111" s="59">
        <f t="shared" si="2491"/>
        <v>0</v>
      </c>
      <c r="Q111" s="59"/>
      <c r="R111" s="59"/>
      <c r="S111" s="59"/>
      <c r="T111" s="59"/>
      <c r="U111" s="59">
        <v>356</v>
      </c>
      <c r="V111" s="59">
        <f t="shared" si="2492"/>
        <v>339.65041296098298</v>
      </c>
      <c r="W111" s="59">
        <v>13102.719999999999</v>
      </c>
      <c r="X111" s="62">
        <f t="shared" si="2493"/>
        <v>0.41242726342661501</v>
      </c>
      <c r="Y111" s="62">
        <f t="shared" si="2494"/>
        <v>1.3122610667707999</v>
      </c>
      <c r="Z111" s="62">
        <f t="shared" si="2505"/>
        <v>1.3122610667707999</v>
      </c>
      <c r="AA111" s="59">
        <f t="shared" si="2495"/>
        <v>103.958561741938</v>
      </c>
      <c r="AB111" s="59">
        <v>3112.7800000000002</v>
      </c>
      <c r="AC111" s="59">
        <f t="shared" si="2496"/>
        <v>39.271822137408002</v>
      </c>
      <c r="AD111" s="59"/>
      <c r="AE111" s="59"/>
      <c r="AF111" s="59">
        <v>2</v>
      </c>
      <c r="AG111" s="59">
        <f t="shared" si="2482"/>
        <v>2</v>
      </c>
      <c r="AH111" s="59">
        <f t="shared" si="2497"/>
        <v>3.3717962466487901</v>
      </c>
      <c r="AI111" s="59">
        <v>0.80823221508446397</v>
      </c>
      <c r="AJ111" s="59">
        <f t="shared" si="2483"/>
        <v>0.80823221508446397</v>
      </c>
      <c r="AK111" s="59">
        <f t="shared" si="2498"/>
        <v>55.151263183771697</v>
      </c>
      <c r="AL111" s="338"/>
      <c r="AM111" s="59"/>
      <c r="AN111" s="59">
        <v>2000</v>
      </c>
      <c r="AO111" s="62"/>
      <c r="AP111" s="62"/>
      <c r="AQ111" s="59"/>
      <c r="AR111" s="59"/>
      <c r="AS111" s="59"/>
      <c r="AT111" s="189">
        <f>VLOOKUP(B:B,综合进度!B:N,13,0)</f>
        <v>7.3618342816394802e-003</v>
      </c>
      <c r="AU111" s="59">
        <f t="shared" si="2499"/>
        <v>43.979450761828602</v>
      </c>
      <c r="AV111" s="59"/>
      <c r="AW111" s="59"/>
      <c r="AX111" s="59">
        <f t="shared" si="2500"/>
        <v>2585</v>
      </c>
      <c r="AY111" s="59">
        <v>4890</v>
      </c>
      <c r="AZ111" s="59">
        <f t="shared" si="2501"/>
        <v>4576.7635418788796</v>
      </c>
      <c r="BA111" s="59">
        <f t="shared" si="2502"/>
        <v>-1991.76354187888</v>
      </c>
      <c r="BB111" s="43">
        <f t="shared" si="2490"/>
        <v>-0.43519039680630101</v>
      </c>
      <c r="BC111" s="50">
        <v>-4824</v>
      </c>
      <c r="BD111" s="50">
        <f t="shared" si="2503"/>
        <v>-6815.7635418788796</v>
      </c>
      <c r="BG111" s="340"/>
    </row>
    <row r="112" ht="17" customHeight="1">
      <c r="A112" s="46">
        <v>74</v>
      </c>
      <c r="B112" s="82" t="s">
        <v>158</v>
      </c>
      <c r="C112" s="46" t="s">
        <v>90</v>
      </c>
      <c r="D112" s="46">
        <v>2018</v>
      </c>
      <c r="E112" s="46" t="s">
        <v>91</v>
      </c>
      <c r="F112" s="46" t="s">
        <v>146</v>
      </c>
      <c r="G112" s="73">
        <v>29707</v>
      </c>
      <c r="H112" s="59">
        <f t="shared" si="2476"/>
        <v>23765.599999999999</v>
      </c>
      <c r="I112" s="59">
        <f t="shared" si="2477"/>
        <v>0</v>
      </c>
      <c r="J112" s="59">
        <f t="shared" si="2478"/>
        <v>0</v>
      </c>
      <c r="K112" s="59">
        <f t="shared" si="2479"/>
        <v>23765.599999999999</v>
      </c>
      <c r="L112" s="59">
        <f t="shared" si="2480"/>
        <v>0</v>
      </c>
      <c r="M112" s="59">
        <f t="shared" si="2481"/>
        <v>0</v>
      </c>
      <c r="N112" s="59">
        <v>4444</v>
      </c>
      <c r="O112" s="59">
        <v>218</v>
      </c>
      <c r="P112" s="59">
        <f t="shared" si="2491"/>
        <v>0</v>
      </c>
      <c r="Q112" s="59"/>
      <c r="R112" s="59"/>
      <c r="S112" s="59"/>
      <c r="T112" s="59"/>
      <c r="U112" s="59">
        <v>485</v>
      </c>
      <c r="V112" s="59">
        <f t="shared" si="2492"/>
        <v>395.59119966246698</v>
      </c>
      <c r="W112" s="59">
        <v>11726.4</v>
      </c>
      <c r="X112" s="62">
        <f t="shared" si="2493"/>
        <v>0.63452110853281096</v>
      </c>
      <c r="Y112" s="62">
        <f t="shared" si="2494"/>
        <v>2.1669530377504</v>
      </c>
      <c r="Z112" s="62">
        <f t="shared" si="2505"/>
        <v>2.1669530377504</v>
      </c>
      <c r="AA112" s="59">
        <f t="shared" si="2495"/>
        <v>171.66806733145401</v>
      </c>
      <c r="AB112" s="59">
        <v>1604.5999999999999</v>
      </c>
      <c r="AC112" s="59">
        <f t="shared" si="2496"/>
        <v>20.244143756283702</v>
      </c>
      <c r="AD112" s="59"/>
      <c r="AE112" s="59"/>
      <c r="AF112" s="59">
        <v>6</v>
      </c>
      <c r="AG112" s="59">
        <f t="shared" si="2482"/>
        <v>6</v>
      </c>
      <c r="AH112" s="59">
        <f t="shared" si="2497"/>
        <v>10.1153887399464</v>
      </c>
      <c r="AI112" s="59">
        <v>1</v>
      </c>
      <c r="AJ112" s="59">
        <f t="shared" si="2483"/>
        <v>1</v>
      </c>
      <c r="AK112" s="59">
        <f t="shared" si="2498"/>
        <v>68.236902902970996</v>
      </c>
      <c r="AL112" s="338"/>
      <c r="AM112" s="59"/>
      <c r="AN112" s="59">
        <v>2000</v>
      </c>
      <c r="AO112" s="62"/>
      <c r="AP112" s="62"/>
      <c r="AQ112" s="59"/>
      <c r="AR112" s="59"/>
      <c r="AS112" s="59"/>
      <c r="AT112" s="189">
        <f>VLOOKUP(B:B,综合进度!B:N,13,0)</f>
        <v>8.1952052173545394e-003</v>
      </c>
      <c r="AU112" s="59">
        <f t="shared" si="2499"/>
        <v>48.957992064371702</v>
      </c>
      <c r="AV112" s="59"/>
      <c r="AW112" s="59"/>
      <c r="AX112" s="59">
        <f t="shared" si="2500"/>
        <v>2715</v>
      </c>
      <c r="AY112" s="59">
        <v>3659</v>
      </c>
      <c r="AZ112" s="59">
        <f t="shared" si="2501"/>
        <v>3424.6171369600902</v>
      </c>
      <c r="BA112" s="59">
        <f t="shared" si="2502"/>
        <v>-709.61713696008701</v>
      </c>
      <c r="BB112" s="43">
        <f t="shared" si="2490"/>
        <v>-0.20721064825073801</v>
      </c>
      <c r="BC112" s="50">
        <v>-5723</v>
      </c>
      <c r="BD112" s="50">
        <f t="shared" si="2503"/>
        <v>-6432.6171369600897</v>
      </c>
      <c r="BG112" s="340"/>
    </row>
    <row r="113" s="5" customFormat="1" ht="30" customHeight="1">
      <c r="A113" s="65"/>
      <c r="B113" s="66" t="s">
        <v>159</v>
      </c>
      <c r="C113" s="67">
        <v>1</v>
      </c>
      <c r="D113" s="67"/>
      <c r="E113" s="67"/>
      <c r="F113" s="68"/>
      <c r="G113" s="69">
        <f t="shared" ref="G113:P113" si="2506">G114+G115</f>
        <v>66152</v>
      </c>
      <c r="H113" s="69">
        <f t="shared" si="2506"/>
        <v>47523.800000000003</v>
      </c>
      <c r="I113" s="69">
        <f t="shared" si="2506"/>
        <v>7888.8000000000002</v>
      </c>
      <c r="J113" s="69">
        <f t="shared" si="2506"/>
        <v>19377.400000000001</v>
      </c>
      <c r="K113" s="69">
        <f t="shared" si="2506"/>
        <v>20257.599999999999</v>
      </c>
      <c r="L113" s="69">
        <f t="shared" si="2506"/>
        <v>0</v>
      </c>
      <c r="M113" s="69">
        <f t="shared" si="2506"/>
        <v>0</v>
      </c>
      <c r="N113" s="69">
        <f t="shared" si="2506"/>
        <v>8532</v>
      </c>
      <c r="O113" s="69">
        <f t="shared" si="2506"/>
        <v>753</v>
      </c>
      <c r="P113" s="69">
        <f t="shared" si="2506"/>
        <v>0</v>
      </c>
      <c r="Q113" s="59">
        <v>0</v>
      </c>
      <c r="R113" s="69">
        <f t="shared" ref="R113:V113" si="2507">R114+R115</f>
        <v>0</v>
      </c>
      <c r="S113" s="69">
        <f t="shared" si="2507"/>
        <v>0</v>
      </c>
      <c r="T113" s="69">
        <f t="shared" si="2507"/>
        <v>0</v>
      </c>
      <c r="U113" s="69">
        <f t="shared" si="2507"/>
        <v>589</v>
      </c>
      <c r="V113" s="69">
        <f t="shared" si="2507"/>
        <v>754.059003481491</v>
      </c>
      <c r="W113" s="69"/>
      <c r="X113" s="69">
        <f t="shared" ref="X113:AC113" si="2508">X114+X115</f>
        <v>1.0181732510142001</v>
      </c>
      <c r="Y113" s="69">
        <f t="shared" si="2508"/>
        <v>2.3200726103837002</v>
      </c>
      <c r="Z113" s="69">
        <f t="shared" si="2508"/>
        <v>0.94770666530041903</v>
      </c>
      <c r="AA113" s="69">
        <f t="shared" si="2508"/>
        <v>75.078217568644703</v>
      </c>
      <c r="AB113" s="69">
        <f t="shared" si="2508"/>
        <v>1184.2</v>
      </c>
      <c r="AC113" s="69">
        <f t="shared" si="2508"/>
        <v>14.940243696990599</v>
      </c>
      <c r="AD113" s="69"/>
      <c r="AE113" s="69"/>
      <c r="AF113" s="69">
        <f t="shared" ref="AF113:AK113" si="2509">AF114+AF115</f>
        <v>50</v>
      </c>
      <c r="AG113" s="59">
        <f t="shared" si="2509"/>
        <v>44</v>
      </c>
      <c r="AH113" s="59">
        <f t="shared" si="2509"/>
        <v>74.179517426273506</v>
      </c>
      <c r="AI113" s="69">
        <f t="shared" si="2509"/>
        <v>2.0920034393809099</v>
      </c>
      <c r="AJ113" s="59">
        <f t="shared" si="2509"/>
        <v>2.0460017196904601</v>
      </c>
      <c r="AK113" s="59">
        <f t="shared" si="2509"/>
        <v>139.61282068582901</v>
      </c>
      <c r="AL113" s="69"/>
      <c r="AM113" s="69"/>
      <c r="AN113" s="69">
        <f t="shared" ref="AN113:AU113" si="2510">AN114+AN115</f>
        <v>0</v>
      </c>
      <c r="AO113" s="69"/>
      <c r="AP113" s="69"/>
      <c r="AQ113" s="69">
        <f t="shared" si="2510"/>
        <v>0</v>
      </c>
      <c r="AR113" s="69"/>
      <c r="AS113" s="69">
        <f t="shared" si="2510"/>
        <v>0</v>
      </c>
      <c r="AT113" s="403">
        <f t="shared" si="2510"/>
        <v>2.3965031844156399e-002</v>
      </c>
      <c r="AU113" s="69">
        <f t="shared" si="2510"/>
        <v>143.16662093635301</v>
      </c>
      <c r="AV113" s="69"/>
      <c r="AW113" s="71"/>
      <c r="AX113" s="69">
        <f t="shared" ref="AX113:BA113" si="2511">AX114+AX115</f>
        <v>1201</v>
      </c>
      <c r="AY113" s="69">
        <v>8183</v>
      </c>
      <c r="AZ113" s="69">
        <f t="shared" si="2511"/>
        <v>7658.8253707964996</v>
      </c>
      <c r="BA113" s="69">
        <f t="shared" si="2511"/>
        <v>-6457.8253707964996</v>
      </c>
      <c r="BB113" s="336">
        <f t="shared" si="2490"/>
        <v>-0.84318744169576199</v>
      </c>
      <c r="BC113" s="404">
        <v>-14747</v>
      </c>
      <c r="BD113" s="69">
        <f>BD114+BD115</f>
        <v>-21204.825370796501</v>
      </c>
      <c r="BG113" s="340"/>
    </row>
    <row r="114" s="5" customFormat="1" ht="30" customHeight="1">
      <c r="A114" s="44"/>
      <c r="B114" s="72" t="s">
        <v>160</v>
      </c>
      <c r="C114" s="46">
        <v>2</v>
      </c>
      <c r="D114" s="46"/>
      <c r="E114" s="46"/>
      <c r="F114" s="46"/>
      <c r="G114" s="73"/>
      <c r="H114" s="59">
        <f t="shared" ref="H114:H118" si="2512">SUM(I114:M114)</f>
        <v>0</v>
      </c>
      <c r="I114" s="59">
        <f t="shared" ref="I114:I118" si="2513">IF(D114="",G114*0.6,0)</f>
        <v>0</v>
      </c>
      <c r="J114" s="59">
        <f t="shared" ref="J114:J118" si="2514">IF(D114=2017,G114*0.7,0)</f>
        <v>0</v>
      </c>
      <c r="K114" s="59">
        <f t="shared" ref="K114:K118" si="2515">IF(D114=2018,G114*0.8,0)</f>
        <v>0</v>
      </c>
      <c r="L114" s="59">
        <f t="shared" ref="L114:L118" si="2516">IF(D114=2019,G114*0.9,0)</f>
        <v>0</v>
      </c>
      <c r="M114" s="59">
        <f t="shared" ref="M114:M118" si="2517">IF(D114=2020,G114*1,0)</f>
        <v>0</v>
      </c>
      <c r="N114" s="59"/>
      <c r="O114" s="59"/>
      <c r="P114" s="59">
        <f>L114*0.4+M114*0.6+N114*0.8+O114*1</f>
        <v>0</v>
      </c>
      <c r="Q114" s="59"/>
      <c r="R114" s="59"/>
      <c r="S114" s="59"/>
      <c r="T114" s="59"/>
      <c r="U114" s="59"/>
      <c r="V114" s="59">
        <f>H114/$H$9*134866+N114/$N$9*202299+P114/$P$9*100000+U114/$U$9*34867</f>
        <v>0</v>
      </c>
      <c r="W114" s="59"/>
      <c r="X114" s="62"/>
      <c r="Y114" s="62"/>
      <c r="Z114" s="62"/>
      <c r="AA114" s="59"/>
      <c r="AB114" s="59"/>
      <c r="AC114" s="59"/>
      <c r="AD114" s="59"/>
      <c r="AE114" s="59"/>
      <c r="AF114" s="59"/>
      <c r="AG114" s="59">
        <f t="shared" ref="AG114:AG118" si="2518">AF114</f>
        <v>0</v>
      </c>
      <c r="AH114" s="59">
        <f>AG114/$AG$9*40459.89</f>
        <v>0</v>
      </c>
      <c r="AI114" s="59"/>
      <c r="AJ114" s="59">
        <f t="shared" ref="AJ114:AJ118" si="2519">AI114</f>
        <v>0</v>
      </c>
      <c r="AK114" s="59">
        <f>AJ114/$AJ$9*40459.89</f>
        <v>0</v>
      </c>
      <c r="AL114" s="59"/>
      <c r="AM114" s="59"/>
      <c r="AN114" s="59"/>
      <c r="AO114" s="62"/>
      <c r="AP114" s="62"/>
      <c r="AQ114" s="59"/>
      <c r="AR114" s="59"/>
      <c r="AS114" s="59"/>
      <c r="AT114" s="189"/>
      <c r="AU114" s="59"/>
      <c r="AV114" s="59"/>
      <c r="AW114" s="59"/>
      <c r="AX114" s="59"/>
      <c r="AY114" s="59"/>
      <c r="AZ114" s="170"/>
      <c r="BA114" s="50"/>
      <c r="BB114" s="43"/>
      <c r="BC114" s="50">
        <v>0</v>
      </c>
      <c r="BD114" s="50"/>
      <c r="BG114" s="340"/>
    </row>
    <row r="115" s="5" customFormat="1" ht="17" customHeight="1">
      <c r="A115" s="75"/>
      <c r="B115" s="76" t="s">
        <v>76</v>
      </c>
      <c r="C115" s="77">
        <v>3</v>
      </c>
      <c r="D115" s="77"/>
      <c r="E115" s="77"/>
      <c r="F115" s="78"/>
      <c r="G115" s="79">
        <f t="shared" ref="G115:P115" si="2520">SUM(G116:G118)</f>
        <v>66152</v>
      </c>
      <c r="H115" s="79">
        <f t="shared" si="2520"/>
        <v>47523.800000000003</v>
      </c>
      <c r="I115" s="79">
        <f t="shared" si="2520"/>
        <v>7888.8000000000002</v>
      </c>
      <c r="J115" s="79">
        <f t="shared" si="2520"/>
        <v>19377.400000000001</v>
      </c>
      <c r="K115" s="79">
        <f t="shared" si="2520"/>
        <v>20257.599999999999</v>
      </c>
      <c r="L115" s="79">
        <f t="shared" si="2520"/>
        <v>0</v>
      </c>
      <c r="M115" s="79">
        <f t="shared" si="2520"/>
        <v>0</v>
      </c>
      <c r="N115" s="79">
        <f t="shared" si="2520"/>
        <v>8532</v>
      </c>
      <c r="O115" s="79">
        <f t="shared" si="2520"/>
        <v>753</v>
      </c>
      <c r="P115" s="79">
        <f t="shared" si="2520"/>
        <v>0</v>
      </c>
      <c r="Q115" s="59">
        <v>0</v>
      </c>
      <c r="R115" s="79">
        <f t="shared" ref="R115:V115" si="2521">SUM(R116:R118)</f>
        <v>0</v>
      </c>
      <c r="S115" s="79">
        <f t="shared" si="2521"/>
        <v>0</v>
      </c>
      <c r="T115" s="79">
        <f t="shared" si="2521"/>
        <v>0</v>
      </c>
      <c r="U115" s="79">
        <f t="shared" si="2521"/>
        <v>589</v>
      </c>
      <c r="V115" s="79">
        <f t="shared" si="2521"/>
        <v>754.059003481491</v>
      </c>
      <c r="W115" s="79"/>
      <c r="X115" s="79">
        <f t="shared" ref="X115:AC115" si="2522">SUM(X116:X118)</f>
        <v>1.0181732510142001</v>
      </c>
      <c r="Y115" s="79">
        <f t="shared" si="2522"/>
        <v>2.3200726103837002</v>
      </c>
      <c r="Z115" s="79">
        <f t="shared" si="2522"/>
        <v>0.94770666530041903</v>
      </c>
      <c r="AA115" s="79">
        <f t="shared" si="2522"/>
        <v>75.078217568644703</v>
      </c>
      <c r="AB115" s="79">
        <f t="shared" si="2522"/>
        <v>1184.2</v>
      </c>
      <c r="AC115" s="79">
        <f t="shared" si="2522"/>
        <v>14.940243696990599</v>
      </c>
      <c r="AD115" s="79"/>
      <c r="AE115" s="79"/>
      <c r="AF115" s="79">
        <f t="shared" ref="AF115:AK115" si="2523">SUM(AF116:AF118)</f>
        <v>50</v>
      </c>
      <c r="AG115" s="59">
        <f t="shared" si="2523"/>
        <v>44</v>
      </c>
      <c r="AH115" s="59">
        <f t="shared" si="2523"/>
        <v>74.179517426273506</v>
      </c>
      <c r="AI115" s="79">
        <f t="shared" si="2523"/>
        <v>2.0920034393809099</v>
      </c>
      <c r="AJ115" s="59">
        <f t="shared" si="2523"/>
        <v>2.0460017196904601</v>
      </c>
      <c r="AK115" s="59">
        <f t="shared" si="2523"/>
        <v>139.61282068582901</v>
      </c>
      <c r="AL115" s="79"/>
      <c r="AM115" s="79"/>
      <c r="AN115" s="79">
        <f t="shared" ref="AN115:AU115" si="2524">SUM(AN116:AN118)</f>
        <v>0</v>
      </c>
      <c r="AO115" s="79"/>
      <c r="AP115" s="79"/>
      <c r="AQ115" s="79">
        <f t="shared" si="2524"/>
        <v>0</v>
      </c>
      <c r="AR115" s="79"/>
      <c r="AS115" s="79">
        <f t="shared" si="2524"/>
        <v>0</v>
      </c>
      <c r="AT115" s="405">
        <f t="shared" si="2524"/>
        <v>2.3965031844156399e-002</v>
      </c>
      <c r="AU115" s="79">
        <f t="shared" si="2524"/>
        <v>143.16662093635301</v>
      </c>
      <c r="AV115" s="79"/>
      <c r="AW115" s="81"/>
      <c r="AX115" s="79">
        <f t="shared" ref="AX115:BA115" si="2525">SUM(AX116:AX118)</f>
        <v>1201</v>
      </c>
      <c r="AY115" s="79">
        <v>8183</v>
      </c>
      <c r="AZ115" s="79">
        <f t="shared" si="2525"/>
        <v>7658.8253707964996</v>
      </c>
      <c r="BA115" s="79">
        <f t="shared" si="2525"/>
        <v>-6457.8253707964996</v>
      </c>
      <c r="BB115" s="337">
        <f t="shared" si="2490"/>
        <v>-0.84318744169576199</v>
      </c>
      <c r="BC115" s="406">
        <v>-14747</v>
      </c>
      <c r="BD115" s="79">
        <f>SUM(BD116:BD118)</f>
        <v>-21204.825370796501</v>
      </c>
      <c r="BG115" s="340"/>
    </row>
    <row r="116" ht="17" customHeight="1">
      <c r="A116" s="46">
        <v>75</v>
      </c>
      <c r="B116" s="82" t="s">
        <v>161</v>
      </c>
      <c r="C116" s="46" t="s">
        <v>78</v>
      </c>
      <c r="D116" s="46"/>
      <c r="E116" s="46"/>
      <c r="F116" s="46" t="s">
        <v>146</v>
      </c>
      <c r="G116" s="73">
        <v>13148</v>
      </c>
      <c r="H116" s="59">
        <f t="shared" si="2512"/>
        <v>7888.8000000000002</v>
      </c>
      <c r="I116" s="59">
        <f t="shared" si="2513"/>
        <v>7888.8000000000002</v>
      </c>
      <c r="J116" s="59">
        <f t="shared" si="2514"/>
        <v>0</v>
      </c>
      <c r="K116" s="59">
        <f t="shared" si="2515"/>
        <v>0</v>
      </c>
      <c r="L116" s="59">
        <f t="shared" si="2516"/>
        <v>0</v>
      </c>
      <c r="M116" s="59">
        <f t="shared" si="2517"/>
        <v>0</v>
      </c>
      <c r="N116" s="59">
        <v>2047</v>
      </c>
      <c r="O116" s="59">
        <v>173</v>
      </c>
      <c r="P116" s="59">
        <f t="shared" ref="P116:P118" si="2526">Q116*0.6+R116*0.8+S116*1+T116*1.25</f>
        <v>0</v>
      </c>
      <c r="Q116" s="59"/>
      <c r="R116" s="59"/>
      <c r="S116" s="59"/>
      <c r="T116" s="59"/>
      <c r="U116" s="59">
        <v>0</v>
      </c>
      <c r="V116" s="59">
        <f t="shared" ref="V116:V118" si="2527">H116/$H$9*298699*0.12+N116/$N$9*298699*0.15+P116/$P$9*298699*0.035+U116/$U$9*298699*0.025</f>
        <v>151.729582773506</v>
      </c>
      <c r="W116" s="59">
        <v>12772.040000000001</v>
      </c>
      <c r="X116" s="62">
        <f t="shared" ref="X116:X118" si="2528">($W$64-W116)/($W$64-$W$44)</f>
        <v>0.46578839506730702</v>
      </c>
      <c r="Y116" s="62">
        <f t="shared" ref="Y116:Y118" si="2529">(G116+N116)*X116/10000</f>
        <v>0.707765466304772</v>
      </c>
      <c r="Z116" s="62">
        <f>Y116*0.2</f>
        <v>0.141553093260954</v>
      </c>
      <c r="AA116" s="59">
        <f t="shared" ref="AA116:AA118" si="2530">Z116/$Z$9*298699*0.12</f>
        <v>11.213969809942901</v>
      </c>
      <c r="AB116" s="59"/>
      <c r="AC116" s="59">
        <f t="shared" ref="AC116:AC118" si="2531">(AB116/$AB$9*298699*0.03)</f>
        <v>0</v>
      </c>
      <c r="AD116" s="59"/>
      <c r="AE116" s="59"/>
      <c r="AF116" s="59">
        <v>12</v>
      </c>
      <c r="AG116" s="59">
        <f>AF116*0.5</f>
        <v>6</v>
      </c>
      <c r="AH116" s="59">
        <f t="shared" ref="AH116:AH118" si="2532">AG116/$AG$9*298699*0.02</f>
        <v>10.1153887399464</v>
      </c>
      <c r="AI116" s="59">
        <v>9.2003439380911406e-002</v>
      </c>
      <c r="AJ116" s="59">
        <f>AI116*0.5</f>
        <v>4.6001719690455703e-002</v>
      </c>
      <c r="AK116" s="59">
        <f t="shared" ref="AK116:AK118" si="2533">AJ116/$AJ$9*298699*0.02</f>
        <v>3.1390148798873101</v>
      </c>
      <c r="AL116" s="338"/>
      <c r="AM116" s="59"/>
      <c r="AN116" s="59"/>
      <c r="AO116" s="62"/>
      <c r="AP116" s="62"/>
      <c r="AQ116" s="59"/>
      <c r="AR116" s="59"/>
      <c r="AS116" s="59"/>
      <c r="AT116" s="189">
        <f>VLOOKUP(B:B,综合进度!B:N,13,0)</f>
        <v>4.4487814036240801e-003</v>
      </c>
      <c r="AU116" s="59">
        <f t="shared" ref="AU116:AU118" si="2534">AT116/$AT$9*298699*0.02</f>
        <v>26.576931129622199</v>
      </c>
      <c r="AV116" s="59"/>
      <c r="AW116" s="59"/>
      <c r="AX116" s="59">
        <f t="shared" ref="AX116:AX118" si="2535">ROUND(V116+AA116+AC116+AN116+AQ116+AS116+AU116+AW116+AH116+AK116,0)</f>
        <v>203</v>
      </c>
      <c r="AY116" s="59">
        <v>1298</v>
      </c>
      <c r="AZ116" s="59">
        <f t="shared" ref="AZ116:AZ118" si="2536">AY116/$AY$9*280243</f>
        <v>1214.8546170467901</v>
      </c>
      <c r="BA116" s="59">
        <f t="shared" ref="BA116:BA118" si="2537">AX116-AZ116</f>
        <v>-1011.8546170467901</v>
      </c>
      <c r="BB116" s="43">
        <f t="shared" si="2490"/>
        <v>-0.83290181627372295</v>
      </c>
      <c r="BC116" s="50">
        <v>-2752</v>
      </c>
      <c r="BD116" s="50">
        <f t="shared" ref="BD116:BD118" si="2538">BC116+BA116</f>
        <v>-3763.8546170467898</v>
      </c>
      <c r="BG116" s="340"/>
    </row>
    <row r="117" ht="17" customHeight="1">
      <c r="A117" s="46">
        <v>76</v>
      </c>
      <c r="B117" s="82" t="s">
        <v>162</v>
      </c>
      <c r="C117" s="46" t="s">
        <v>90</v>
      </c>
      <c r="D117" s="46">
        <v>2017</v>
      </c>
      <c r="E117" s="46"/>
      <c r="F117" s="46" t="s">
        <v>146</v>
      </c>
      <c r="G117" s="73">
        <v>27682</v>
      </c>
      <c r="H117" s="59">
        <f t="shared" si="2512"/>
        <v>19377.400000000001</v>
      </c>
      <c r="I117" s="59">
        <f t="shared" si="2513"/>
        <v>0</v>
      </c>
      <c r="J117" s="59">
        <f t="shared" si="2514"/>
        <v>19377.400000000001</v>
      </c>
      <c r="K117" s="59">
        <f t="shared" si="2515"/>
        <v>0</v>
      </c>
      <c r="L117" s="59">
        <f t="shared" si="2516"/>
        <v>0</v>
      </c>
      <c r="M117" s="59">
        <f t="shared" si="2517"/>
        <v>0</v>
      </c>
      <c r="N117" s="59">
        <v>3510</v>
      </c>
      <c r="O117" s="59">
        <v>459</v>
      </c>
      <c r="P117" s="59">
        <f t="shared" si="2526"/>
        <v>0</v>
      </c>
      <c r="Q117" s="59"/>
      <c r="R117" s="59"/>
      <c r="S117" s="59"/>
      <c r="T117" s="59"/>
      <c r="U117" s="59">
        <v>50</v>
      </c>
      <c r="V117" s="59">
        <f t="shared" si="2527"/>
        <v>299.38830069670598</v>
      </c>
      <c r="W117" s="59">
        <v>14604.860000000001</v>
      </c>
      <c r="X117" s="62">
        <f t="shared" si="2528"/>
        <v>0.170030111247019</v>
      </c>
      <c r="Y117" s="62">
        <f t="shared" si="2529"/>
        <v>0.53035792300170104</v>
      </c>
      <c r="Z117" s="62">
        <f t="shared" ref="Z117:Z118" si="2539">Y117*0.5</f>
        <v>0.26517896150085002</v>
      </c>
      <c r="AA117" s="59">
        <f t="shared" si="2530"/>
        <v>21.0077279132325</v>
      </c>
      <c r="AB117" s="59">
        <v>131.09999999999999</v>
      </c>
      <c r="AC117" s="59">
        <f t="shared" si="2531"/>
        <v>1.6539992810973401</v>
      </c>
      <c r="AD117" s="59"/>
      <c r="AE117" s="59"/>
      <c r="AF117" s="59">
        <v>17</v>
      </c>
      <c r="AG117" s="59">
        <f t="shared" si="2518"/>
        <v>17</v>
      </c>
      <c r="AH117" s="59">
        <f t="shared" si="2532"/>
        <v>28.660268096514699</v>
      </c>
      <c r="AI117" s="59">
        <v>1</v>
      </c>
      <c r="AJ117" s="59">
        <f t="shared" si="2519"/>
        <v>1</v>
      </c>
      <c r="AK117" s="59">
        <f t="shared" si="2533"/>
        <v>68.236902902970996</v>
      </c>
      <c r="AL117" s="338"/>
      <c r="AM117" s="59"/>
      <c r="AN117" s="59"/>
      <c r="AO117" s="62"/>
      <c r="AP117" s="62"/>
      <c r="AQ117" s="59"/>
      <c r="AR117" s="59"/>
      <c r="AS117" s="59"/>
      <c r="AT117" s="189">
        <f>VLOOKUP(B:B,综合进度!B:N,13,0)</f>
        <v>5.2346414779297799e-003</v>
      </c>
      <c r="AU117" s="59">
        <f t="shared" si="2534"/>
        <v>31.271643496322898</v>
      </c>
      <c r="AV117" s="59"/>
      <c r="AW117" s="59"/>
      <c r="AX117" s="59">
        <f t="shared" si="2535"/>
        <v>450</v>
      </c>
      <c r="AY117" s="59">
        <v>1946</v>
      </c>
      <c r="AZ117" s="59">
        <f t="shared" si="2536"/>
        <v>1821.3459821055801</v>
      </c>
      <c r="BA117" s="59">
        <f t="shared" si="2537"/>
        <v>-1371.3459821055801</v>
      </c>
      <c r="BB117" s="43">
        <f t="shared" si="2490"/>
        <v>-0.75292997353541102</v>
      </c>
      <c r="BC117" s="50">
        <v>-1593</v>
      </c>
      <c r="BD117" s="50">
        <f t="shared" si="2538"/>
        <v>-2964.3459821055799</v>
      </c>
      <c r="BG117" s="340"/>
    </row>
    <row r="118" ht="17" customHeight="1">
      <c r="A118" s="46">
        <v>77</v>
      </c>
      <c r="B118" s="82" t="s">
        <v>163</v>
      </c>
      <c r="C118" s="46" t="s">
        <v>90</v>
      </c>
      <c r="D118" s="46">
        <v>2018</v>
      </c>
      <c r="E118" s="46"/>
      <c r="F118" s="46" t="s">
        <v>146</v>
      </c>
      <c r="G118" s="73">
        <v>25322</v>
      </c>
      <c r="H118" s="59">
        <f t="shared" si="2512"/>
        <v>20257.599999999999</v>
      </c>
      <c r="I118" s="59">
        <f t="shared" si="2513"/>
        <v>0</v>
      </c>
      <c r="J118" s="59">
        <f t="shared" si="2514"/>
        <v>0</v>
      </c>
      <c r="K118" s="59">
        <f t="shared" si="2515"/>
        <v>20257.599999999999</v>
      </c>
      <c r="L118" s="59">
        <f t="shared" si="2516"/>
        <v>0</v>
      </c>
      <c r="M118" s="59">
        <f t="shared" si="2517"/>
        <v>0</v>
      </c>
      <c r="N118" s="59">
        <v>2975</v>
      </c>
      <c r="O118" s="59">
        <v>121</v>
      </c>
      <c r="P118" s="59">
        <f t="shared" si="2526"/>
        <v>0</v>
      </c>
      <c r="Q118" s="59"/>
      <c r="R118" s="59"/>
      <c r="S118" s="59"/>
      <c r="T118" s="59"/>
      <c r="U118" s="59">
        <v>539</v>
      </c>
      <c r="V118" s="59">
        <f t="shared" si="2527"/>
        <v>302.94112001128002</v>
      </c>
      <c r="W118" s="59">
        <v>13289.08</v>
      </c>
      <c r="X118" s="62">
        <f t="shared" si="2528"/>
        <v>0.38235474469987202</v>
      </c>
      <c r="Y118" s="62">
        <f t="shared" si="2529"/>
        <v>1.0819492210772299</v>
      </c>
      <c r="Z118" s="62">
        <f t="shared" si="2539"/>
        <v>0.54097461053861395</v>
      </c>
      <c r="AA118" s="59">
        <f t="shared" si="2530"/>
        <v>42.856519845469201</v>
      </c>
      <c r="AB118" s="59">
        <v>1053.0999999999999</v>
      </c>
      <c r="AC118" s="59">
        <f t="shared" si="2531"/>
        <v>13.2862444158933</v>
      </c>
      <c r="AD118" s="59"/>
      <c r="AE118" s="59"/>
      <c r="AF118" s="59">
        <v>21</v>
      </c>
      <c r="AG118" s="59">
        <f t="shared" si="2518"/>
        <v>21</v>
      </c>
      <c r="AH118" s="59">
        <f t="shared" si="2532"/>
        <v>35.403860589812297</v>
      </c>
      <c r="AI118" s="59">
        <v>1</v>
      </c>
      <c r="AJ118" s="59">
        <f t="shared" si="2519"/>
        <v>1</v>
      </c>
      <c r="AK118" s="59">
        <f t="shared" si="2533"/>
        <v>68.236902902970996</v>
      </c>
      <c r="AL118" s="338"/>
      <c r="AM118" s="59"/>
      <c r="AN118" s="59"/>
      <c r="AO118" s="62"/>
      <c r="AP118" s="62"/>
      <c r="AQ118" s="59"/>
      <c r="AR118" s="59"/>
      <c r="AS118" s="59"/>
      <c r="AT118" s="189">
        <f>VLOOKUP(B:B,综合进度!B:N,13,0)</f>
        <v>1.4281608962602501e-002</v>
      </c>
      <c r="AU118" s="59">
        <f t="shared" si="2534"/>
        <v>85.318046310408207</v>
      </c>
      <c r="AV118" s="59"/>
      <c r="AW118" s="59"/>
      <c r="AX118" s="59">
        <f t="shared" si="2535"/>
        <v>548</v>
      </c>
      <c r="AY118" s="59">
        <v>4939</v>
      </c>
      <c r="AZ118" s="59">
        <f t="shared" si="2536"/>
        <v>4622.6247716441303</v>
      </c>
      <c r="BA118" s="59">
        <f t="shared" si="2537"/>
        <v>-4074.6247716441299</v>
      </c>
      <c r="BB118" s="43">
        <f t="shared" si="2490"/>
        <v>-0.88145263198486001</v>
      </c>
      <c r="BC118" s="50">
        <v>-10402</v>
      </c>
      <c r="BD118" s="50">
        <f t="shared" si="2538"/>
        <v>-14476.624771644099</v>
      </c>
      <c r="BG118" s="340"/>
    </row>
    <row r="119" s="5" customFormat="1" ht="17" customHeight="1">
      <c r="A119" s="65"/>
      <c r="B119" s="66" t="s">
        <v>164</v>
      </c>
      <c r="C119" s="67">
        <v>1</v>
      </c>
      <c r="D119" s="67"/>
      <c r="E119" s="67"/>
      <c r="F119" s="68"/>
      <c r="G119" s="69">
        <f t="shared" ref="G119:P119" si="2540">G120+G121</f>
        <v>310681</v>
      </c>
      <c r="H119" s="69">
        <f t="shared" si="2540"/>
        <v>239406.79999999999</v>
      </c>
      <c r="I119" s="69">
        <f t="shared" si="2540"/>
        <v>46182.599999999999</v>
      </c>
      <c r="J119" s="69">
        <f t="shared" si="2540"/>
        <v>23061.5</v>
      </c>
      <c r="K119" s="69">
        <f t="shared" si="2540"/>
        <v>84206.399999999994</v>
      </c>
      <c r="L119" s="69">
        <f t="shared" si="2540"/>
        <v>85956.300000000003</v>
      </c>
      <c r="M119" s="69">
        <f t="shared" si="2540"/>
        <v>0</v>
      </c>
      <c r="N119" s="69">
        <f t="shared" si="2540"/>
        <v>43685</v>
      </c>
      <c r="O119" s="69">
        <f t="shared" si="2540"/>
        <v>47828</v>
      </c>
      <c r="P119" s="69">
        <f t="shared" si="2540"/>
        <v>5380.1999999999998</v>
      </c>
      <c r="Q119" s="59">
        <v>8967</v>
      </c>
      <c r="R119" s="69">
        <f t="shared" ref="R119:V119" si="2541">R120+R121</f>
        <v>0</v>
      </c>
      <c r="S119" s="69">
        <f t="shared" si="2541"/>
        <v>0</v>
      </c>
      <c r="T119" s="69">
        <f t="shared" si="2541"/>
        <v>0</v>
      </c>
      <c r="U119" s="69">
        <f t="shared" si="2541"/>
        <v>5701</v>
      </c>
      <c r="V119" s="69">
        <f t="shared" si="2541"/>
        <v>4096.2547291544497</v>
      </c>
      <c r="W119" s="69"/>
      <c r="X119" s="69">
        <f t="shared" ref="X119:AC119" si="2542">X120+X121</f>
        <v>4.7602573495002396</v>
      </c>
      <c r="Y119" s="69">
        <f t="shared" si="2542"/>
        <v>18.048825724783899</v>
      </c>
      <c r="Z119" s="69">
        <f t="shared" si="2542"/>
        <v>11.1234004957706</v>
      </c>
      <c r="AA119" s="69">
        <f t="shared" si="2542"/>
        <v>881.20629842768994</v>
      </c>
      <c r="AB119" s="69">
        <f t="shared" si="2542"/>
        <v>36847.911999999997</v>
      </c>
      <c r="AC119" s="69">
        <f t="shared" si="2542"/>
        <v>464.88497298198502</v>
      </c>
      <c r="AD119" s="69"/>
      <c r="AE119" s="69"/>
      <c r="AF119" s="69">
        <f t="shared" ref="AF119:AK119" si="2543">AF120+AF121</f>
        <v>565</v>
      </c>
      <c r="AG119" s="59">
        <f t="shared" si="2543"/>
        <v>442.5</v>
      </c>
      <c r="AH119" s="59">
        <f t="shared" si="2543"/>
        <v>746.009919571046</v>
      </c>
      <c r="AI119" s="69">
        <f t="shared" si="2543"/>
        <v>10</v>
      </c>
      <c r="AJ119" s="59">
        <f t="shared" si="2543"/>
        <v>8.5</v>
      </c>
      <c r="AK119" s="59">
        <f t="shared" si="2543"/>
        <v>580.01367467525301</v>
      </c>
      <c r="AL119" s="69"/>
      <c r="AM119" s="69"/>
      <c r="AN119" s="69">
        <f t="shared" ref="AN119:AU119" si="2544">AN120+AN121</f>
        <v>1000</v>
      </c>
      <c r="AO119" s="69"/>
      <c r="AP119" s="69"/>
      <c r="AQ119" s="69">
        <f t="shared" si="2544"/>
        <v>0</v>
      </c>
      <c r="AR119" s="69"/>
      <c r="AS119" s="69">
        <f t="shared" si="2544"/>
        <v>0</v>
      </c>
      <c r="AT119" s="403">
        <f t="shared" si="2544"/>
        <v>4.4724014282303902e-002</v>
      </c>
      <c r="AU119" s="69">
        <f t="shared" si="2544"/>
        <v>267.180366842198</v>
      </c>
      <c r="AV119" s="69"/>
      <c r="AW119" s="71"/>
      <c r="AX119" s="69">
        <f t="shared" ref="AX119:BA119" si="2545">AX120+AX121</f>
        <v>8036</v>
      </c>
      <c r="AY119" s="69">
        <v>8701</v>
      </c>
      <c r="AZ119" s="69">
        <f t="shared" si="2545"/>
        <v>8143.6440854577004</v>
      </c>
      <c r="BA119" s="69">
        <f t="shared" si="2545"/>
        <v>-107.644085457697</v>
      </c>
      <c r="BB119" s="336">
        <f t="shared" si="2490"/>
        <v>-1.32181716597757e-002</v>
      </c>
      <c r="BC119" s="404">
        <v>13369</v>
      </c>
      <c r="BD119" s="69">
        <f>BD120+BD121</f>
        <v>13214.355914542301</v>
      </c>
      <c r="BG119" s="340"/>
    </row>
    <row r="120" s="5" customFormat="1" ht="17" customHeight="1">
      <c r="A120" s="44"/>
      <c r="B120" s="72" t="s">
        <v>165</v>
      </c>
      <c r="C120" s="46">
        <v>2</v>
      </c>
      <c r="D120" s="46"/>
      <c r="E120" s="46"/>
      <c r="F120" s="46"/>
      <c r="G120" s="73"/>
      <c r="H120" s="59">
        <f t="shared" ref="H120:H131" si="2546">SUM(I120:M120)</f>
        <v>0</v>
      </c>
      <c r="I120" s="59">
        <f t="shared" ref="I120:I131" si="2547">IF(D120="",G120*0.6,0)</f>
        <v>0</v>
      </c>
      <c r="J120" s="59">
        <f t="shared" ref="J120:J131" si="2548">IF(D120=2017,G120*0.7,0)</f>
        <v>0</v>
      </c>
      <c r="K120" s="59">
        <f t="shared" ref="K120:K131" si="2549">IF(D120=2018,G120*0.8,0)</f>
        <v>0</v>
      </c>
      <c r="L120" s="59">
        <f t="shared" ref="L120:L131" si="2550">IF(D120=2019,G120*0.9,0)</f>
        <v>0</v>
      </c>
      <c r="M120" s="59">
        <f t="shared" ref="M120:M131" si="2551">IF(D120=2020,G120*1,0)</f>
        <v>0</v>
      </c>
      <c r="N120" s="59"/>
      <c r="O120" s="59"/>
      <c r="P120" s="59">
        <f>L120*0.4+M120*0.6+N120*0.8+O120*1</f>
        <v>0</v>
      </c>
      <c r="Q120" s="59"/>
      <c r="R120" s="59"/>
      <c r="S120" s="59"/>
      <c r="T120" s="59"/>
      <c r="U120" s="59"/>
      <c r="V120" s="59">
        <f>H120/$H$9*134866+N120/$N$9*202299+P120/$P$9*100000+U120/$U$9*34867</f>
        <v>0</v>
      </c>
      <c r="W120" s="59"/>
      <c r="X120" s="62"/>
      <c r="Y120" s="62"/>
      <c r="Z120" s="62"/>
      <c r="AA120" s="59"/>
      <c r="AB120" s="59"/>
      <c r="AC120" s="59"/>
      <c r="AD120" s="59"/>
      <c r="AE120" s="59"/>
      <c r="AF120" s="59"/>
      <c r="AG120" s="59">
        <f t="shared" ref="AG120:AG128" si="2552">AF120</f>
        <v>0</v>
      </c>
      <c r="AH120" s="59">
        <f>AG120/$AG$9*40459.89</f>
        <v>0</v>
      </c>
      <c r="AI120" s="59"/>
      <c r="AJ120" s="59">
        <f t="shared" ref="AJ120:AJ128" si="2553">AI120</f>
        <v>0</v>
      </c>
      <c r="AK120" s="59">
        <f>AJ120/$AJ$9*40459.89</f>
        <v>0</v>
      </c>
      <c r="AL120" s="59"/>
      <c r="AM120" s="59"/>
      <c r="AN120" s="59"/>
      <c r="AO120" s="62"/>
      <c r="AP120" s="62"/>
      <c r="AQ120" s="59"/>
      <c r="AR120" s="59"/>
      <c r="AS120" s="59"/>
      <c r="AT120" s="189"/>
      <c r="AU120" s="59"/>
      <c r="AV120" s="59"/>
      <c r="AW120" s="59"/>
      <c r="AX120" s="59"/>
      <c r="AY120" s="59"/>
      <c r="AZ120" s="170"/>
      <c r="BA120" s="50"/>
      <c r="BB120" s="43"/>
      <c r="BC120" s="50">
        <v>47</v>
      </c>
      <c r="BD120" s="50"/>
      <c r="BG120" s="340"/>
    </row>
    <row r="121" s="5" customFormat="1" ht="17" customHeight="1">
      <c r="A121" s="75"/>
      <c r="B121" s="76" t="s">
        <v>76</v>
      </c>
      <c r="C121" s="77">
        <v>3</v>
      </c>
      <c r="D121" s="77"/>
      <c r="E121" s="77"/>
      <c r="F121" s="78"/>
      <c r="G121" s="79">
        <f t="shared" ref="G121:P121" si="2554">SUM(G122:G131)</f>
        <v>310681</v>
      </c>
      <c r="H121" s="79">
        <f t="shared" si="2554"/>
        <v>239406.79999999999</v>
      </c>
      <c r="I121" s="79">
        <f t="shared" si="2554"/>
        <v>46182.599999999999</v>
      </c>
      <c r="J121" s="79">
        <f t="shared" si="2554"/>
        <v>23061.5</v>
      </c>
      <c r="K121" s="79">
        <f t="shared" si="2554"/>
        <v>84206.399999999994</v>
      </c>
      <c r="L121" s="79">
        <f t="shared" si="2554"/>
        <v>85956.300000000003</v>
      </c>
      <c r="M121" s="79">
        <f t="shared" si="2554"/>
        <v>0</v>
      </c>
      <c r="N121" s="79">
        <f t="shared" si="2554"/>
        <v>43685</v>
      </c>
      <c r="O121" s="79">
        <f t="shared" si="2554"/>
        <v>47828</v>
      </c>
      <c r="P121" s="79">
        <f t="shared" si="2554"/>
        <v>5380.1999999999998</v>
      </c>
      <c r="Q121" s="59">
        <v>8967</v>
      </c>
      <c r="R121" s="79">
        <f t="shared" ref="R121:V121" si="2555">SUM(R122:R131)</f>
        <v>0</v>
      </c>
      <c r="S121" s="79">
        <f t="shared" si="2555"/>
        <v>0</v>
      </c>
      <c r="T121" s="79">
        <f t="shared" si="2555"/>
        <v>0</v>
      </c>
      <c r="U121" s="79">
        <f t="shared" si="2555"/>
        <v>5701</v>
      </c>
      <c r="V121" s="79">
        <f t="shared" si="2555"/>
        <v>4096.2547291544497</v>
      </c>
      <c r="W121" s="79"/>
      <c r="X121" s="79">
        <f t="shared" ref="X121:AC121" si="2556">SUM(X122:X131)</f>
        <v>4.7602573495002396</v>
      </c>
      <c r="Y121" s="79">
        <f t="shared" si="2556"/>
        <v>18.048825724783899</v>
      </c>
      <c r="Z121" s="79">
        <f t="shared" si="2556"/>
        <v>11.1234004957706</v>
      </c>
      <c r="AA121" s="79">
        <f t="shared" si="2556"/>
        <v>881.20629842768994</v>
      </c>
      <c r="AB121" s="79">
        <f t="shared" si="2556"/>
        <v>36847.911999999997</v>
      </c>
      <c r="AC121" s="79">
        <f t="shared" si="2556"/>
        <v>464.88497298198502</v>
      </c>
      <c r="AD121" s="79"/>
      <c r="AE121" s="79"/>
      <c r="AF121" s="79">
        <f t="shared" ref="AF121:AK121" si="2557">SUM(AF122:AF131)</f>
        <v>565</v>
      </c>
      <c r="AG121" s="59">
        <f t="shared" si="2557"/>
        <v>442.5</v>
      </c>
      <c r="AH121" s="59">
        <f t="shared" si="2557"/>
        <v>746.009919571046</v>
      </c>
      <c r="AI121" s="79">
        <f t="shared" si="2557"/>
        <v>10</v>
      </c>
      <c r="AJ121" s="59">
        <f t="shared" si="2557"/>
        <v>8.5</v>
      </c>
      <c r="AK121" s="59">
        <f t="shared" si="2557"/>
        <v>580.01367467525301</v>
      </c>
      <c r="AL121" s="79"/>
      <c r="AM121" s="79"/>
      <c r="AN121" s="79">
        <f t="shared" ref="AN121:AU121" si="2558">SUM(AN122:AN131)</f>
        <v>1000</v>
      </c>
      <c r="AO121" s="79"/>
      <c r="AP121" s="79"/>
      <c r="AQ121" s="79">
        <f t="shared" si="2558"/>
        <v>0</v>
      </c>
      <c r="AR121" s="79"/>
      <c r="AS121" s="79">
        <f t="shared" si="2558"/>
        <v>0</v>
      </c>
      <c r="AT121" s="405">
        <f t="shared" si="2558"/>
        <v>4.4724014282303902e-002</v>
      </c>
      <c r="AU121" s="79">
        <f t="shared" si="2558"/>
        <v>267.180366842198</v>
      </c>
      <c r="AV121" s="79"/>
      <c r="AW121" s="81"/>
      <c r="AX121" s="79">
        <f t="shared" ref="AX121:BA121" si="2559">SUM(AX122:AX131)</f>
        <v>8036</v>
      </c>
      <c r="AY121" s="79">
        <v>8701</v>
      </c>
      <c r="AZ121" s="79">
        <f t="shared" si="2559"/>
        <v>8143.6440854577004</v>
      </c>
      <c r="BA121" s="79">
        <f t="shared" si="2559"/>
        <v>-107.644085457697</v>
      </c>
      <c r="BB121" s="337">
        <f t="shared" si="2490"/>
        <v>-1.32181716597757e-002</v>
      </c>
      <c r="BC121" s="406">
        <v>13322</v>
      </c>
      <c r="BD121" s="79">
        <f>SUM(BD122:BD131)</f>
        <v>13214.355914542301</v>
      </c>
      <c r="BG121" s="340"/>
    </row>
    <row r="122" s="5" customFormat="1" ht="17" customHeight="1">
      <c r="A122" s="46">
        <v>78</v>
      </c>
      <c r="B122" s="82" t="s">
        <v>166</v>
      </c>
      <c r="C122" s="46" t="s">
        <v>78</v>
      </c>
      <c r="D122" s="46"/>
      <c r="E122" s="46"/>
      <c r="F122" s="46"/>
      <c r="G122" s="73">
        <v>33951</v>
      </c>
      <c r="H122" s="59">
        <f t="shared" si="2546"/>
        <v>20370.599999999999</v>
      </c>
      <c r="I122" s="59">
        <f t="shared" si="2547"/>
        <v>20370.599999999999</v>
      </c>
      <c r="J122" s="59">
        <f t="shared" si="2548"/>
        <v>0</v>
      </c>
      <c r="K122" s="59">
        <f t="shared" si="2549"/>
        <v>0</v>
      </c>
      <c r="L122" s="59">
        <f t="shared" si="2550"/>
        <v>0</v>
      </c>
      <c r="M122" s="59">
        <f t="shared" si="2551"/>
        <v>0</v>
      </c>
      <c r="N122" s="59">
        <v>4811</v>
      </c>
      <c r="O122" s="59">
        <v>1850</v>
      </c>
      <c r="P122" s="59">
        <f t="shared" ref="P122:P131" si="2560">Q122*0.6+R122*0.8+S122*1+T122*1.25</f>
        <v>0</v>
      </c>
      <c r="Q122" s="59"/>
      <c r="R122" s="59"/>
      <c r="S122" s="59"/>
      <c r="T122" s="59"/>
      <c r="U122" s="59">
        <v>913</v>
      </c>
      <c r="V122" s="59">
        <f t="shared" ref="V122:V131" si="2561">H122/$H$9*298699*0.12+N122/$N$9*298699*0.15+P122/$P$9*298699*0.035+U122/$U$9*298699*0.025</f>
        <v>414.30927588158698</v>
      </c>
      <c r="W122" s="59">
        <v>13094.16</v>
      </c>
      <c r="X122" s="62">
        <f t="shared" ref="X122:X131" si="2562">($W$64-W122)/($W$64-$W$44)</f>
        <v>0.41380857250743103</v>
      </c>
      <c r="Y122" s="62">
        <f t="shared" ref="Y122:Y131" si="2563">(G122+N122)*X122/10000</f>
        <v>1.6040047887533</v>
      </c>
      <c r="Z122" s="62">
        <f>Y122*0.2</f>
        <v>0.32080095775066098</v>
      </c>
      <c r="AA122" s="59">
        <f t="shared" ref="AA122:AA131" si="2564">Z122/$Z$9*298699*0.12</f>
        <v>25.414155016625099</v>
      </c>
      <c r="AB122" s="59">
        <v>3023.8299999999999</v>
      </c>
      <c r="AC122" s="59">
        <f t="shared" ref="AC122:AC131" si="2565">(AB122/$AB$9*298699*0.03)</f>
        <v>38.149600657212702</v>
      </c>
      <c r="AD122" s="59"/>
      <c r="AE122" s="59"/>
      <c r="AF122" s="59">
        <v>45</v>
      </c>
      <c r="AG122" s="59">
        <f>AF122*0.5</f>
        <v>22.5</v>
      </c>
      <c r="AH122" s="59">
        <f t="shared" ref="AH122:AH131" si="2566">AG122/$AG$9*298699*0.02</f>
        <v>37.932707774798899</v>
      </c>
      <c r="AI122" s="59">
        <v>1</v>
      </c>
      <c r="AJ122" s="59">
        <f>AI122*0.5</f>
        <v>0.5</v>
      </c>
      <c r="AK122" s="59">
        <f t="shared" ref="AK122:AK131" si="2567">AJ122/$AJ$9*298699*0.02</f>
        <v>34.118451451485498</v>
      </c>
      <c r="AL122" s="338"/>
      <c r="AM122" s="59"/>
      <c r="AN122" s="59"/>
      <c r="AO122" s="62"/>
      <c r="AP122" s="62"/>
      <c r="AQ122" s="59"/>
      <c r="AR122" s="59"/>
      <c r="AS122" s="59"/>
      <c r="AT122" s="189">
        <f>VLOOKUP(B:B,综合进度!B:N,13,0)</f>
        <v>3.7992912109276098e-003</v>
      </c>
      <c r="AU122" s="59">
        <f t="shared" ref="AU122:AU131" si="2568">AT122/$AT$9*298699*0.02</f>
        <v>22.696889708257299</v>
      </c>
      <c r="AV122" s="59"/>
      <c r="AW122" s="59"/>
      <c r="AX122" s="59">
        <f t="shared" ref="AX122:AX131" si="2569">ROUND(V122+AA122+AC122+AN122+AQ122+AS122+AU122+AW122+AH122+AK122,0)</f>
        <v>573</v>
      </c>
      <c r="AY122" s="59">
        <v>361</v>
      </c>
      <c r="AZ122" s="59">
        <f t="shared" ref="AZ122:AZ131" si="2570">AY122/$AY$9*280243</f>
        <v>337.87559071948402</v>
      </c>
      <c r="BA122" s="59">
        <f t="shared" ref="BA122:BA131" si="2571">AX122-AZ122</f>
        <v>235.12440928051601</v>
      </c>
      <c r="BB122" s="43">
        <f t="shared" si="2490"/>
        <v>0.69589048673162301</v>
      </c>
      <c r="BC122" s="50">
        <v>1925</v>
      </c>
      <c r="BD122" s="50">
        <f t="shared" ref="BD122:BD131" si="2572">BC122+BA122</f>
        <v>2160.12440928052</v>
      </c>
      <c r="BG122" s="340"/>
    </row>
    <row r="123" s="5" customFormat="1" ht="17" customHeight="1">
      <c r="A123" s="46">
        <v>79</v>
      </c>
      <c r="B123" s="82" t="s">
        <v>167</v>
      </c>
      <c r="C123" s="46" t="s">
        <v>90</v>
      </c>
      <c r="D123" s="46">
        <v>2018</v>
      </c>
      <c r="E123" s="46"/>
      <c r="F123" s="46"/>
      <c r="G123" s="73">
        <v>22402</v>
      </c>
      <c r="H123" s="59">
        <f t="shared" si="2546"/>
        <v>17921.599999999999</v>
      </c>
      <c r="I123" s="59">
        <f t="shared" si="2547"/>
        <v>0</v>
      </c>
      <c r="J123" s="59">
        <f t="shared" si="2548"/>
        <v>0</v>
      </c>
      <c r="K123" s="59">
        <f t="shared" si="2549"/>
        <v>17921.599999999999</v>
      </c>
      <c r="L123" s="59">
        <f t="shared" si="2550"/>
        <v>0</v>
      </c>
      <c r="M123" s="59">
        <f t="shared" si="2551"/>
        <v>0</v>
      </c>
      <c r="N123" s="59">
        <v>4048</v>
      </c>
      <c r="O123" s="59">
        <v>5801</v>
      </c>
      <c r="P123" s="59">
        <f t="shared" si="2560"/>
        <v>900.60000000000002</v>
      </c>
      <c r="Q123" s="59">
        <v>1501</v>
      </c>
      <c r="R123" s="59"/>
      <c r="S123" s="59"/>
      <c r="T123" s="59"/>
      <c r="U123" s="59">
        <v>467</v>
      </c>
      <c r="V123" s="59">
        <f t="shared" si="2561"/>
        <v>359.00696274363003</v>
      </c>
      <c r="W123" s="59">
        <v>11951.799999999999</v>
      </c>
      <c r="X123" s="62">
        <f t="shared" si="2562"/>
        <v>0.59814878764309298</v>
      </c>
      <c r="Y123" s="62">
        <f t="shared" si="2563"/>
        <v>1.58210354331598</v>
      </c>
      <c r="Z123" s="62">
        <f t="shared" ref="Z123:Z128" si="2573">Y123*0.5</f>
        <v>0.79105177165799101</v>
      </c>
      <c r="AA123" s="59">
        <f t="shared" si="2564"/>
        <v>62.667868861905603</v>
      </c>
      <c r="AB123" s="59">
        <v>2246</v>
      </c>
      <c r="AC123" s="59">
        <f t="shared" si="2565"/>
        <v>28.336250078906399</v>
      </c>
      <c r="AD123" s="59"/>
      <c r="AE123" s="59"/>
      <c r="AF123" s="59">
        <v>69</v>
      </c>
      <c r="AG123" s="59">
        <f t="shared" si="2552"/>
        <v>69</v>
      </c>
      <c r="AH123" s="59">
        <f t="shared" si="2566"/>
        <v>116.326970509383</v>
      </c>
      <c r="AI123" s="59">
        <v>1</v>
      </c>
      <c r="AJ123" s="59">
        <f t="shared" si="2553"/>
        <v>1</v>
      </c>
      <c r="AK123" s="59">
        <f t="shared" si="2567"/>
        <v>68.236902902970996</v>
      </c>
      <c r="AL123" s="338"/>
      <c r="AM123" s="59"/>
      <c r="AN123" s="59"/>
      <c r="AO123" s="62"/>
      <c r="AP123" s="62"/>
      <c r="AQ123" s="59"/>
      <c r="AR123" s="59"/>
      <c r="AS123" s="59"/>
      <c r="AT123" s="189">
        <f>VLOOKUP(B:B,综合进度!B:N,13,0)</f>
        <v>4.1366160934983298e-003</v>
      </c>
      <c r="AU123" s="59">
        <f t="shared" si="2568"/>
        <v>24.712061810237099</v>
      </c>
      <c r="AV123" s="59"/>
      <c r="AW123" s="59"/>
      <c r="AX123" s="59">
        <f t="shared" si="2569"/>
        <v>659</v>
      </c>
      <c r="AY123" s="59">
        <v>653</v>
      </c>
      <c r="AZ123" s="59">
        <f t="shared" si="2570"/>
        <v>611.17108238178105</v>
      </c>
      <c r="BA123" s="59">
        <f t="shared" si="2571"/>
        <v>47.828917618219101</v>
      </c>
      <c r="BB123" s="43">
        <f t="shared" si="2490"/>
        <v>7.8257821740888106e-002</v>
      </c>
      <c r="BC123" s="50">
        <v>1200</v>
      </c>
      <c r="BD123" s="50">
        <f t="shared" si="2572"/>
        <v>1247.82891761822</v>
      </c>
      <c r="BG123" s="340"/>
    </row>
    <row r="124" s="5" customFormat="1" ht="17" customHeight="1">
      <c r="A124" s="46">
        <v>80</v>
      </c>
      <c r="B124" s="82" t="s">
        <v>168</v>
      </c>
      <c r="C124" s="46" t="s">
        <v>90</v>
      </c>
      <c r="D124" s="46">
        <v>2017</v>
      </c>
      <c r="E124" s="46"/>
      <c r="F124" s="46"/>
      <c r="G124" s="73">
        <v>10255</v>
      </c>
      <c r="H124" s="59">
        <f t="shared" si="2546"/>
        <v>7178.5</v>
      </c>
      <c r="I124" s="59">
        <f t="shared" si="2547"/>
        <v>0</v>
      </c>
      <c r="J124" s="59">
        <f t="shared" si="2548"/>
        <v>7178.5</v>
      </c>
      <c r="K124" s="59">
        <f t="shared" si="2549"/>
        <v>0</v>
      </c>
      <c r="L124" s="59">
        <f t="shared" si="2550"/>
        <v>0</v>
      </c>
      <c r="M124" s="59">
        <f t="shared" si="2551"/>
        <v>0</v>
      </c>
      <c r="N124" s="59">
        <v>2817</v>
      </c>
      <c r="O124" s="59">
        <v>2106</v>
      </c>
      <c r="P124" s="59">
        <f t="shared" si="2560"/>
        <v>544.79999999999995</v>
      </c>
      <c r="Q124" s="59">
        <v>908</v>
      </c>
      <c r="R124" s="59"/>
      <c r="S124" s="59"/>
      <c r="T124" s="59"/>
      <c r="U124" s="59">
        <v>140</v>
      </c>
      <c r="V124" s="59">
        <f t="shared" si="2561"/>
        <v>205.38726430108699</v>
      </c>
      <c r="W124" s="59">
        <v>14118.75</v>
      </c>
      <c r="X124" s="62">
        <f t="shared" si="2562"/>
        <v>0.24847265298482199</v>
      </c>
      <c r="Y124" s="62">
        <f t="shared" si="2563"/>
        <v>0.32480345198175897</v>
      </c>
      <c r="Z124" s="62">
        <f t="shared" si="2573"/>
        <v>0.16240172599088001</v>
      </c>
      <c r="AA124" s="59">
        <f t="shared" si="2564"/>
        <v>12.865618195902</v>
      </c>
      <c r="AB124" s="59">
        <v>1395.72</v>
      </c>
      <c r="AC124" s="59">
        <f t="shared" si="2565"/>
        <v>17.608847266309599</v>
      </c>
      <c r="AD124" s="59"/>
      <c r="AE124" s="59"/>
      <c r="AF124" s="59">
        <v>58</v>
      </c>
      <c r="AG124" s="59">
        <f t="shared" si="2552"/>
        <v>58</v>
      </c>
      <c r="AH124" s="59">
        <f t="shared" si="2566"/>
        <v>97.782091152814999</v>
      </c>
      <c r="AI124" s="59">
        <v>1</v>
      </c>
      <c r="AJ124" s="59">
        <f t="shared" si="2553"/>
        <v>1</v>
      </c>
      <c r="AK124" s="59">
        <f t="shared" si="2567"/>
        <v>68.236902902970996</v>
      </c>
      <c r="AL124" s="338"/>
      <c r="AM124" s="59"/>
      <c r="AN124" s="59"/>
      <c r="AO124" s="62"/>
      <c r="AP124" s="62"/>
      <c r="AQ124" s="59"/>
      <c r="AR124" s="59"/>
      <c r="AS124" s="59"/>
      <c r="AT124" s="189">
        <f>VLOOKUP(B:B,综合进度!B:N,13,0)</f>
        <v>3.6683670402278701e-003</v>
      </c>
      <c r="AU124" s="59">
        <f t="shared" si="2568"/>
        <v>21.914751330980501</v>
      </c>
      <c r="AV124" s="59"/>
      <c r="AW124" s="59"/>
      <c r="AX124" s="59">
        <f t="shared" si="2569"/>
        <v>424</v>
      </c>
      <c r="AY124" s="59">
        <v>283</v>
      </c>
      <c r="AZ124" s="59">
        <f t="shared" si="2570"/>
        <v>264.87200048092501</v>
      </c>
      <c r="BA124" s="59">
        <f t="shared" si="2571"/>
        <v>159.12799951907499</v>
      </c>
      <c r="BB124" s="43">
        <f t="shared" si="2490"/>
        <v>0.60077320075413099</v>
      </c>
      <c r="BC124" s="50">
        <v>1307</v>
      </c>
      <c r="BD124" s="50">
        <f t="shared" si="2572"/>
        <v>1466.12799951908</v>
      </c>
      <c r="BG124" s="340"/>
    </row>
    <row r="125" s="5" customFormat="1" ht="17" customHeight="1">
      <c r="A125" s="46">
        <v>81</v>
      </c>
      <c r="B125" s="82" t="s">
        <v>169</v>
      </c>
      <c r="C125" s="46" t="s">
        <v>90</v>
      </c>
      <c r="D125" s="46">
        <v>2018</v>
      </c>
      <c r="E125" s="46"/>
      <c r="F125" s="46"/>
      <c r="G125" s="73">
        <v>25551</v>
      </c>
      <c r="H125" s="59">
        <f t="shared" si="2546"/>
        <v>20440.799999999999</v>
      </c>
      <c r="I125" s="59">
        <f t="shared" si="2547"/>
        <v>0</v>
      </c>
      <c r="J125" s="59">
        <f t="shared" si="2548"/>
        <v>0</v>
      </c>
      <c r="K125" s="59">
        <f t="shared" si="2549"/>
        <v>20440.799999999999</v>
      </c>
      <c r="L125" s="59">
        <f t="shared" si="2550"/>
        <v>0</v>
      </c>
      <c r="M125" s="59">
        <f t="shared" si="2551"/>
        <v>0</v>
      </c>
      <c r="N125" s="59">
        <v>4414</v>
      </c>
      <c r="O125" s="59">
        <v>5198</v>
      </c>
      <c r="P125" s="59">
        <f t="shared" si="2560"/>
        <v>0</v>
      </c>
      <c r="Q125" s="59"/>
      <c r="R125" s="59"/>
      <c r="S125" s="59"/>
      <c r="T125" s="59"/>
      <c r="U125" s="59">
        <v>840</v>
      </c>
      <c r="V125" s="59">
        <f t="shared" si="2561"/>
        <v>391.21995792529702</v>
      </c>
      <c r="W125" s="59">
        <v>12691.84</v>
      </c>
      <c r="X125" s="62">
        <f t="shared" si="2562"/>
        <v>0.47873009930579502</v>
      </c>
      <c r="Y125" s="62">
        <f t="shared" si="2563"/>
        <v>1.4345147425698199</v>
      </c>
      <c r="Z125" s="62">
        <f t="shared" si="2573"/>
        <v>0.71725737128490796</v>
      </c>
      <c r="AA125" s="59">
        <f t="shared" si="2564"/>
        <v>56.821806731698103</v>
      </c>
      <c r="AB125" s="59">
        <v>2153.3499999999999</v>
      </c>
      <c r="AC125" s="59">
        <f t="shared" si="2565"/>
        <v>27.167348222356701</v>
      </c>
      <c r="AD125" s="59"/>
      <c r="AE125" s="59"/>
      <c r="AF125" s="59">
        <v>45</v>
      </c>
      <c r="AG125" s="59">
        <f t="shared" si="2552"/>
        <v>45</v>
      </c>
      <c r="AH125" s="59">
        <f t="shared" si="2566"/>
        <v>75.865415549597898</v>
      </c>
      <c r="AI125" s="59">
        <v>1</v>
      </c>
      <c r="AJ125" s="59">
        <f t="shared" si="2553"/>
        <v>1</v>
      </c>
      <c r="AK125" s="59">
        <f t="shared" si="2567"/>
        <v>68.236902902970996</v>
      </c>
      <c r="AL125" s="338"/>
      <c r="AM125" s="59"/>
      <c r="AN125" s="59"/>
      <c r="AO125" s="62"/>
      <c r="AP125" s="62"/>
      <c r="AQ125" s="59"/>
      <c r="AR125" s="59"/>
      <c r="AS125" s="59"/>
      <c r="AT125" s="189">
        <f>VLOOKUP(B:B,综合进度!B:N,13,0)</f>
        <v>3.8216120097554901e-003</v>
      </c>
      <c r="AU125" s="59">
        <f t="shared" si="2568"/>
        <v>22.8302337140391</v>
      </c>
      <c r="AV125" s="59"/>
      <c r="AW125" s="59"/>
      <c r="AX125" s="59">
        <f t="shared" si="2569"/>
        <v>642</v>
      </c>
      <c r="AY125" s="59">
        <v>655</v>
      </c>
      <c r="AZ125" s="59">
        <f t="shared" si="2570"/>
        <v>613.04296931097497</v>
      </c>
      <c r="BA125" s="59">
        <f t="shared" si="2571"/>
        <v>28.957030689025299</v>
      </c>
      <c r="BB125" s="43">
        <f t="shared" si="2490"/>
        <v>4.7234911969663902e-002</v>
      </c>
      <c r="BC125" s="50">
        <v>2184</v>
      </c>
      <c r="BD125" s="50">
        <f t="shared" si="2572"/>
        <v>2212.95703068903</v>
      </c>
      <c r="BG125" s="340"/>
    </row>
    <row r="126" s="5" customFormat="1" ht="17" customHeight="1">
      <c r="A126" s="46">
        <v>82</v>
      </c>
      <c r="B126" s="82" t="s">
        <v>170</v>
      </c>
      <c r="C126" s="46" t="s">
        <v>90</v>
      </c>
      <c r="D126" s="46">
        <v>2017</v>
      </c>
      <c r="E126" s="46"/>
      <c r="F126" s="46"/>
      <c r="G126" s="73">
        <v>22690</v>
      </c>
      <c r="H126" s="59">
        <f t="shared" si="2546"/>
        <v>15883</v>
      </c>
      <c r="I126" s="59">
        <f t="shared" si="2547"/>
        <v>0</v>
      </c>
      <c r="J126" s="59">
        <f t="shared" si="2548"/>
        <v>15883</v>
      </c>
      <c r="K126" s="59">
        <f t="shared" si="2549"/>
        <v>0</v>
      </c>
      <c r="L126" s="59">
        <f t="shared" si="2550"/>
        <v>0</v>
      </c>
      <c r="M126" s="59">
        <f t="shared" si="2551"/>
        <v>0</v>
      </c>
      <c r="N126" s="59">
        <v>2371</v>
      </c>
      <c r="O126" s="59">
        <v>2771</v>
      </c>
      <c r="P126" s="59">
        <f t="shared" si="2560"/>
        <v>0</v>
      </c>
      <c r="Q126" s="59"/>
      <c r="R126" s="59"/>
      <c r="S126" s="59"/>
      <c r="T126" s="59"/>
      <c r="U126" s="59">
        <v>676</v>
      </c>
      <c r="V126" s="59">
        <f t="shared" si="2561"/>
        <v>252.27298641473899</v>
      </c>
      <c r="W126" s="59">
        <v>12165.290000000001</v>
      </c>
      <c r="X126" s="62">
        <f t="shared" si="2562"/>
        <v>0.56369835824315595</v>
      </c>
      <c r="Y126" s="62">
        <f t="shared" si="2563"/>
        <v>1.4126844555931699</v>
      </c>
      <c r="Z126" s="62">
        <f t="shared" si="2573"/>
        <v>0.70634222779658595</v>
      </c>
      <c r="AA126" s="59">
        <f t="shared" si="2564"/>
        <v>55.957098750194703</v>
      </c>
      <c r="AB126" s="59">
        <v>485.5</v>
      </c>
      <c r="AC126" s="59">
        <f t="shared" si="2565"/>
        <v>6.12522235677163</v>
      </c>
      <c r="AD126" s="59"/>
      <c r="AE126" s="59"/>
      <c r="AF126" s="59">
        <v>39</v>
      </c>
      <c r="AG126" s="59">
        <f t="shared" si="2552"/>
        <v>39</v>
      </c>
      <c r="AH126" s="59">
        <f t="shared" si="2566"/>
        <v>65.750026809651501</v>
      </c>
      <c r="AI126" s="59">
        <v>1</v>
      </c>
      <c r="AJ126" s="59">
        <f t="shared" si="2553"/>
        <v>1</v>
      </c>
      <c r="AK126" s="59">
        <f t="shared" si="2567"/>
        <v>68.236902902970996</v>
      </c>
      <c r="AL126" s="338"/>
      <c r="AM126" s="59"/>
      <c r="AN126" s="59"/>
      <c r="AO126" s="62"/>
      <c r="AP126" s="62"/>
      <c r="AQ126" s="59"/>
      <c r="AR126" s="59"/>
      <c r="AS126" s="59"/>
      <c r="AT126" s="189">
        <f>VLOOKUP(B:B,综合进度!B:N,13,0)</f>
        <v>3.3217121160100901e-003</v>
      </c>
      <c r="AU126" s="59">
        <f t="shared" si="2568"/>
        <v>19.843841746801999</v>
      </c>
      <c r="AV126" s="59"/>
      <c r="AW126" s="59"/>
      <c r="AX126" s="59">
        <f t="shared" si="2569"/>
        <v>468</v>
      </c>
      <c r="AY126" s="59">
        <v>332</v>
      </c>
      <c r="AZ126" s="59">
        <f t="shared" si="2570"/>
        <v>310.73323024617298</v>
      </c>
      <c r="BA126" s="59">
        <f t="shared" si="2571"/>
        <v>157.26676975382699</v>
      </c>
      <c r="BB126" s="43">
        <f t="shared" si="2490"/>
        <v>0.50611506734968303</v>
      </c>
      <c r="BC126" s="50">
        <v>2513</v>
      </c>
      <c r="BD126" s="50">
        <f t="shared" si="2572"/>
        <v>2670.26676975383</v>
      </c>
      <c r="BG126" s="340"/>
    </row>
    <row r="127" s="5" customFormat="1" ht="17" customHeight="1">
      <c r="A127" s="46">
        <v>83</v>
      </c>
      <c r="B127" s="82" t="s">
        <v>171</v>
      </c>
      <c r="C127" s="46" t="s">
        <v>90</v>
      </c>
      <c r="D127" s="46">
        <v>2018</v>
      </c>
      <c r="E127" s="46"/>
      <c r="F127" s="46"/>
      <c r="G127" s="73">
        <v>36343</v>
      </c>
      <c r="H127" s="59">
        <f t="shared" si="2546"/>
        <v>29074.400000000001</v>
      </c>
      <c r="I127" s="59">
        <f t="shared" si="2547"/>
        <v>0</v>
      </c>
      <c r="J127" s="59">
        <f t="shared" si="2548"/>
        <v>0</v>
      </c>
      <c r="K127" s="59">
        <f t="shared" si="2549"/>
        <v>29074.400000000001</v>
      </c>
      <c r="L127" s="59">
        <f t="shared" si="2550"/>
        <v>0</v>
      </c>
      <c r="M127" s="59">
        <f t="shared" si="2551"/>
        <v>0</v>
      </c>
      <c r="N127" s="59">
        <v>4585</v>
      </c>
      <c r="O127" s="59">
        <v>9495</v>
      </c>
      <c r="P127" s="59">
        <f t="shared" si="2560"/>
        <v>706.79999999999995</v>
      </c>
      <c r="Q127" s="59">
        <v>1178</v>
      </c>
      <c r="R127" s="59"/>
      <c r="S127" s="59"/>
      <c r="T127" s="59"/>
      <c r="U127" s="59">
        <v>838</v>
      </c>
      <c r="V127" s="59">
        <f t="shared" si="2561"/>
        <v>470.08715455318202</v>
      </c>
      <c r="W127" s="59">
        <v>12056.379999999999</v>
      </c>
      <c r="X127" s="62">
        <f t="shared" si="2562"/>
        <v>0.58127293441040995</v>
      </c>
      <c r="Y127" s="62">
        <f t="shared" si="2563"/>
        <v>2.3790338659549302</v>
      </c>
      <c r="Z127" s="62">
        <f t="shared" si="2573"/>
        <v>1.18951693297746</v>
      </c>
      <c r="AA127" s="59">
        <f t="shared" si="2564"/>
        <v>94.234655474707594</v>
      </c>
      <c r="AB127" s="59">
        <v>6605.8000000000002</v>
      </c>
      <c r="AC127" s="59">
        <f t="shared" si="2565"/>
        <v>83.340873005895006</v>
      </c>
      <c r="AD127" s="59"/>
      <c r="AE127" s="59"/>
      <c r="AF127" s="59">
        <v>55</v>
      </c>
      <c r="AG127" s="59">
        <f t="shared" si="2552"/>
        <v>55</v>
      </c>
      <c r="AH127" s="59">
        <f t="shared" si="2566"/>
        <v>92.724396782841794</v>
      </c>
      <c r="AI127" s="59">
        <v>1</v>
      </c>
      <c r="AJ127" s="59">
        <f t="shared" si="2553"/>
        <v>1</v>
      </c>
      <c r="AK127" s="59">
        <f t="shared" si="2567"/>
        <v>68.236902902970996</v>
      </c>
      <c r="AL127" s="338"/>
      <c r="AM127" s="59"/>
      <c r="AN127" s="59"/>
      <c r="AO127" s="62"/>
      <c r="AP127" s="62"/>
      <c r="AQ127" s="59"/>
      <c r="AR127" s="59"/>
      <c r="AS127" s="59"/>
      <c r="AT127" s="189">
        <f>VLOOKUP(B:B,综合进度!B:N,13,0)</f>
        <v>4.3751514646046602e-003</v>
      </c>
      <c r="AU127" s="59">
        <f t="shared" si="2568"/>
        <v>26.137067346518901</v>
      </c>
      <c r="AV127" s="59"/>
      <c r="AW127" s="59"/>
      <c r="AX127" s="59">
        <f t="shared" si="2569"/>
        <v>835</v>
      </c>
      <c r="AY127" s="59">
        <v>851</v>
      </c>
      <c r="AZ127" s="59">
        <f t="shared" si="2570"/>
        <v>796.48788837196901</v>
      </c>
      <c r="BA127" s="59">
        <f t="shared" si="2571"/>
        <v>38.512111628031199</v>
      </c>
      <c r="BB127" s="43">
        <f t="shared" si="2490"/>
        <v>4.8352413376618303e-002</v>
      </c>
      <c r="BC127" s="50">
        <v>721</v>
      </c>
      <c r="BD127" s="50">
        <f t="shared" si="2572"/>
        <v>759.51211162803099</v>
      </c>
      <c r="BG127" s="340"/>
    </row>
    <row r="128" s="5" customFormat="1" ht="17" customHeight="1">
      <c r="A128" s="46">
        <v>84</v>
      </c>
      <c r="B128" s="82" t="s">
        <v>172</v>
      </c>
      <c r="C128" s="46" t="s">
        <v>90</v>
      </c>
      <c r="D128" s="46">
        <v>2018</v>
      </c>
      <c r="E128" s="46"/>
      <c r="F128" s="46"/>
      <c r="G128" s="73">
        <v>20962</v>
      </c>
      <c r="H128" s="59">
        <f t="shared" si="2546"/>
        <v>16769.599999999999</v>
      </c>
      <c r="I128" s="59">
        <f t="shared" si="2547"/>
        <v>0</v>
      </c>
      <c r="J128" s="59">
        <f t="shared" si="2548"/>
        <v>0</v>
      </c>
      <c r="K128" s="59">
        <f t="shared" si="2549"/>
        <v>16769.599999999999</v>
      </c>
      <c r="L128" s="59">
        <f t="shared" si="2550"/>
        <v>0</v>
      </c>
      <c r="M128" s="59">
        <f t="shared" si="2551"/>
        <v>0</v>
      </c>
      <c r="N128" s="59">
        <v>3233</v>
      </c>
      <c r="O128" s="59">
        <v>2322</v>
      </c>
      <c r="P128" s="59">
        <f t="shared" si="2560"/>
        <v>0</v>
      </c>
      <c r="Q128" s="59"/>
      <c r="R128" s="59"/>
      <c r="S128" s="59"/>
      <c r="T128" s="59"/>
      <c r="U128" s="59">
        <v>528</v>
      </c>
      <c r="V128" s="59">
        <f t="shared" si="2561"/>
        <v>293.401678742846</v>
      </c>
      <c r="W128" s="59">
        <v>12154.459999999999</v>
      </c>
      <c r="X128" s="62">
        <f t="shared" si="2562"/>
        <v>0.56544597241900196</v>
      </c>
      <c r="Y128" s="62">
        <f t="shared" si="2563"/>
        <v>1.3680965302677699</v>
      </c>
      <c r="Z128" s="62">
        <f t="shared" si="2573"/>
        <v>0.68404826513388695</v>
      </c>
      <c r="AA128" s="59">
        <f t="shared" si="2564"/>
        <v>54.190949961184401</v>
      </c>
      <c r="AB128" s="59">
        <v>2317.4000000000001</v>
      </c>
      <c r="AC128" s="59">
        <f t="shared" si="2565"/>
        <v>29.237055179366799</v>
      </c>
      <c r="AD128" s="59"/>
      <c r="AE128" s="59"/>
      <c r="AF128" s="59">
        <v>14</v>
      </c>
      <c r="AG128" s="59">
        <f t="shared" si="2552"/>
        <v>14</v>
      </c>
      <c r="AH128" s="59">
        <f t="shared" si="2566"/>
        <v>23.6025737265416</v>
      </c>
      <c r="AI128" s="59">
        <v>1</v>
      </c>
      <c r="AJ128" s="59">
        <f t="shared" si="2553"/>
        <v>1</v>
      </c>
      <c r="AK128" s="59">
        <f t="shared" si="2567"/>
        <v>68.236902902970996</v>
      </c>
      <c r="AL128" s="338"/>
      <c r="AM128" s="59"/>
      <c r="AN128" s="59"/>
      <c r="AO128" s="62"/>
      <c r="AP128" s="62"/>
      <c r="AQ128" s="59"/>
      <c r="AR128" s="59"/>
      <c r="AS128" s="59"/>
      <c r="AT128" s="189">
        <f>VLOOKUP(B:B,综合进度!B:N,13,0)</f>
        <v>4.0137837709387303e-003</v>
      </c>
      <c r="AU128" s="59">
        <f t="shared" si="2568"/>
        <v>23.978263971912501</v>
      </c>
      <c r="AV128" s="59"/>
      <c r="AW128" s="59"/>
      <c r="AX128" s="59">
        <f t="shared" si="2569"/>
        <v>493</v>
      </c>
      <c r="AY128" s="59">
        <v>580</v>
      </c>
      <c r="AZ128" s="59">
        <f t="shared" si="2570"/>
        <v>542.847209466207</v>
      </c>
      <c r="BA128" s="59">
        <f t="shared" si="2571"/>
        <v>-49.847209466206699</v>
      </c>
      <c r="BB128" s="43">
        <f t="shared" si="2490"/>
        <v>-9.1825487166494801e-002</v>
      </c>
      <c r="BC128" s="50">
        <v>868</v>
      </c>
      <c r="BD128" s="50">
        <f t="shared" si="2572"/>
        <v>818.152790533793</v>
      </c>
      <c r="BG128" s="340"/>
    </row>
    <row r="129" s="5" customFormat="1" ht="17" customHeight="1">
      <c r="A129" s="46">
        <v>85</v>
      </c>
      <c r="B129" s="82" t="s">
        <v>173</v>
      </c>
      <c r="C129" s="46" t="s">
        <v>78</v>
      </c>
      <c r="D129" s="46"/>
      <c r="E129" s="46"/>
      <c r="F129" s="46"/>
      <c r="G129" s="73">
        <v>18733</v>
      </c>
      <c r="H129" s="59">
        <f t="shared" si="2546"/>
        <v>11239.799999999999</v>
      </c>
      <c r="I129" s="59">
        <f t="shared" si="2547"/>
        <v>11239.799999999999</v>
      </c>
      <c r="J129" s="59">
        <f t="shared" si="2548"/>
        <v>0</v>
      </c>
      <c r="K129" s="59">
        <f t="shared" si="2549"/>
        <v>0</v>
      </c>
      <c r="L129" s="59">
        <f t="shared" si="2550"/>
        <v>0</v>
      </c>
      <c r="M129" s="59">
        <f t="shared" si="2551"/>
        <v>0</v>
      </c>
      <c r="N129" s="59">
        <v>2963</v>
      </c>
      <c r="O129" s="59">
        <v>3836</v>
      </c>
      <c r="P129" s="59">
        <f t="shared" si="2560"/>
        <v>1265.4000000000001</v>
      </c>
      <c r="Q129" s="59">
        <v>2109</v>
      </c>
      <c r="R129" s="59"/>
      <c r="S129" s="59"/>
      <c r="T129" s="59"/>
      <c r="U129" s="59">
        <v>558</v>
      </c>
      <c r="V129" s="59">
        <f t="shared" si="2561"/>
        <v>275.91991042348599</v>
      </c>
      <c r="W129" s="59">
        <v>12804.200000000001</v>
      </c>
      <c r="X129" s="62">
        <f t="shared" si="2562"/>
        <v>0.46059880394124902</v>
      </c>
      <c r="Y129" s="62">
        <f t="shared" si="2563"/>
        <v>0.99931516503093398</v>
      </c>
      <c r="Z129" s="62">
        <f>Y129*0.2</f>
        <v>0.19986303300618699</v>
      </c>
      <c r="AA129" s="59">
        <f t="shared" si="2564"/>
        <v>15.833338337038199</v>
      </c>
      <c r="AB129" s="59">
        <v>2019.8</v>
      </c>
      <c r="AC129" s="59">
        <f t="shared" si="2565"/>
        <v>25.482438962322</v>
      </c>
      <c r="AD129" s="59"/>
      <c r="AE129" s="59"/>
      <c r="AF129" s="59">
        <v>165</v>
      </c>
      <c r="AG129" s="59">
        <f>AF129*0.5</f>
        <v>82.5</v>
      </c>
      <c r="AH129" s="59">
        <f t="shared" si="2566"/>
        <v>139.08659517426301</v>
      </c>
      <c r="AI129" s="59">
        <v>1</v>
      </c>
      <c r="AJ129" s="59">
        <f>AI129*0.5</f>
        <v>0.5</v>
      </c>
      <c r="AK129" s="59">
        <f t="shared" si="2567"/>
        <v>34.118451451485498</v>
      </c>
      <c r="AL129" s="338"/>
      <c r="AM129" s="59"/>
      <c r="AN129" s="59"/>
      <c r="AO129" s="62"/>
      <c r="AP129" s="62"/>
      <c r="AQ129" s="59"/>
      <c r="AR129" s="59"/>
      <c r="AS129" s="59"/>
      <c r="AT129" s="189">
        <f>VLOOKUP(B:B,综合进度!B:N,13,0)</f>
        <v>3.63405193279767e-003</v>
      </c>
      <c r="AU129" s="59">
        <f t="shared" si="2568"/>
        <v>21.709753565494601</v>
      </c>
      <c r="AV129" s="59"/>
      <c r="AW129" s="59"/>
      <c r="AX129" s="59">
        <f t="shared" si="2569"/>
        <v>512</v>
      </c>
      <c r="AY129" s="59">
        <v>334</v>
      </c>
      <c r="AZ129" s="59">
        <f t="shared" si="2570"/>
        <v>312.60511717536701</v>
      </c>
      <c r="BA129" s="59">
        <f t="shared" si="2571"/>
        <v>199.39488282463299</v>
      </c>
      <c r="BB129" s="43">
        <f t="shared" si="2490"/>
        <v>0.63784906858314405</v>
      </c>
      <c r="BC129" s="50">
        <v>1657</v>
      </c>
      <c r="BD129" s="50">
        <f t="shared" si="2572"/>
        <v>1856.39488282463</v>
      </c>
      <c r="BG129" s="340"/>
    </row>
    <row r="130" ht="17" customHeight="1">
      <c r="A130" s="46">
        <v>86</v>
      </c>
      <c r="B130" s="82" t="s">
        <v>174</v>
      </c>
      <c r="C130" s="46" t="s">
        <v>93</v>
      </c>
      <c r="D130" s="46">
        <v>2019</v>
      </c>
      <c r="E130" s="46" t="s">
        <v>94</v>
      </c>
      <c r="F130" s="46"/>
      <c r="G130" s="73">
        <v>95507</v>
      </c>
      <c r="H130" s="59">
        <f t="shared" si="2546"/>
        <v>85956.300000000003</v>
      </c>
      <c r="I130" s="59">
        <f t="shared" si="2547"/>
        <v>0</v>
      </c>
      <c r="J130" s="59">
        <f t="shared" si="2548"/>
        <v>0</v>
      </c>
      <c r="K130" s="59">
        <f t="shared" si="2549"/>
        <v>0</v>
      </c>
      <c r="L130" s="59">
        <f t="shared" si="2550"/>
        <v>85956.300000000003</v>
      </c>
      <c r="M130" s="59">
        <f t="shared" si="2551"/>
        <v>0</v>
      </c>
      <c r="N130" s="59">
        <v>11154</v>
      </c>
      <c r="O130" s="59">
        <v>9638</v>
      </c>
      <c r="P130" s="59">
        <f t="shared" si="2560"/>
        <v>1128.5999999999999</v>
      </c>
      <c r="Q130" s="59">
        <v>1881</v>
      </c>
      <c r="R130" s="59"/>
      <c r="S130" s="59"/>
      <c r="T130" s="59"/>
      <c r="U130" s="59">
        <v>19</v>
      </c>
      <c r="V130" s="59">
        <f t="shared" si="2561"/>
        <v>1123.18546981635</v>
      </c>
      <c r="W130" s="59">
        <v>12053.959999999999</v>
      </c>
      <c r="X130" s="62">
        <f t="shared" si="2562"/>
        <v>0.58166344468793096</v>
      </c>
      <c r="Y130" s="62">
        <f t="shared" si="2563"/>
        <v>6.20408046738594</v>
      </c>
      <c r="Z130" s="62">
        <f>Y130*1</f>
        <v>6.20408046738594</v>
      </c>
      <c r="AA130" s="59">
        <f t="shared" si="2564"/>
        <v>491.493117225388</v>
      </c>
      <c r="AB130" s="59">
        <v>15445.092000000001</v>
      </c>
      <c r="AC130" s="59">
        <f t="shared" si="2565"/>
        <v>194.86019118598301</v>
      </c>
      <c r="AD130" s="59"/>
      <c r="AE130" s="59"/>
      <c r="AF130" s="59">
        <v>40</v>
      </c>
      <c r="AG130" s="59">
        <f>AF130</f>
        <v>40</v>
      </c>
      <c r="AH130" s="59">
        <f t="shared" si="2566"/>
        <v>67.435924932975894</v>
      </c>
      <c r="AI130" s="59">
        <v>1</v>
      </c>
      <c r="AJ130" s="59">
        <f>AI130</f>
        <v>1</v>
      </c>
      <c r="AK130" s="59">
        <f t="shared" si="2567"/>
        <v>68.236902902970996</v>
      </c>
      <c r="AL130" s="338"/>
      <c r="AM130" s="59"/>
      <c r="AN130" s="59">
        <v>1000</v>
      </c>
      <c r="AO130" s="62"/>
      <c r="AP130" s="62"/>
      <c r="AQ130" s="59"/>
      <c r="AR130" s="59"/>
      <c r="AS130" s="59"/>
      <c r="AT130" s="189">
        <f>VLOOKUP(B:B,综合进度!B:N,13,0)</f>
        <v>1.04092528853281e-002</v>
      </c>
      <c r="AU130" s="59">
        <f t="shared" si="2568"/>
        <v>62.184668551892401</v>
      </c>
      <c r="AV130" s="59"/>
      <c r="AW130" s="59"/>
      <c r="AX130" s="59">
        <f t="shared" si="2569"/>
        <v>3007</v>
      </c>
      <c r="AY130" s="59">
        <v>4260</v>
      </c>
      <c r="AZ130" s="59">
        <f t="shared" si="2570"/>
        <v>3987.1191591828301</v>
      </c>
      <c r="BA130" s="59">
        <f t="shared" si="2571"/>
        <v>-980.11915918282796</v>
      </c>
      <c r="BB130" s="43">
        <f t="shared" si="2490"/>
        <v>-0.24582138633240799</v>
      </c>
      <c r="BC130" s="50">
        <v>-217</v>
      </c>
      <c r="BD130" s="50">
        <f t="shared" si="2572"/>
        <v>-1197.1191591828299</v>
      </c>
      <c r="BF130" s="341"/>
      <c r="BG130" s="339"/>
    </row>
    <row r="131" ht="17" customHeight="1">
      <c r="A131" s="46">
        <v>87</v>
      </c>
      <c r="B131" s="82" t="s">
        <v>175</v>
      </c>
      <c r="C131" s="46" t="s">
        <v>78</v>
      </c>
      <c r="D131" s="46"/>
      <c r="E131" s="46"/>
      <c r="F131" s="46"/>
      <c r="G131" s="73">
        <v>24287</v>
      </c>
      <c r="H131" s="59">
        <f t="shared" si="2546"/>
        <v>14572.200000000001</v>
      </c>
      <c r="I131" s="59">
        <f t="shared" si="2547"/>
        <v>14572.200000000001</v>
      </c>
      <c r="J131" s="59">
        <f t="shared" si="2548"/>
        <v>0</v>
      </c>
      <c r="K131" s="59">
        <f t="shared" si="2549"/>
        <v>0</v>
      </c>
      <c r="L131" s="59">
        <f t="shared" si="2550"/>
        <v>0</v>
      </c>
      <c r="M131" s="59">
        <f t="shared" si="2551"/>
        <v>0</v>
      </c>
      <c r="N131" s="59">
        <v>3289</v>
      </c>
      <c r="O131" s="59">
        <v>4811</v>
      </c>
      <c r="P131" s="59">
        <f t="shared" si="2560"/>
        <v>834</v>
      </c>
      <c r="Q131" s="59">
        <v>1390</v>
      </c>
      <c r="R131" s="59"/>
      <c r="S131" s="59"/>
      <c r="T131" s="59"/>
      <c r="U131" s="59">
        <v>722</v>
      </c>
      <c r="V131" s="59">
        <f t="shared" si="2561"/>
        <v>311.46406835224502</v>
      </c>
      <c r="W131" s="59">
        <v>13995.15</v>
      </c>
      <c r="X131" s="62">
        <f t="shared" si="2562"/>
        <v>0.26841772335735598</v>
      </c>
      <c r="Y131" s="62">
        <f t="shared" si="2563"/>
        <v>0.74018871393024399</v>
      </c>
      <c r="Z131" s="62">
        <f>Y131*0.2</f>
        <v>0.148037742786049</v>
      </c>
      <c r="AA131" s="59">
        <f t="shared" si="2564"/>
        <v>11.727689873046099</v>
      </c>
      <c r="AB131" s="59">
        <v>1155.4200000000001</v>
      </c>
      <c r="AC131" s="59">
        <f t="shared" si="2565"/>
        <v>14.577146066861101</v>
      </c>
      <c r="AD131" s="59"/>
      <c r="AE131" s="59"/>
      <c r="AF131" s="59">
        <v>35</v>
      </c>
      <c r="AG131" s="59">
        <f>AF131*0.5</f>
        <v>17.5</v>
      </c>
      <c r="AH131" s="59">
        <f t="shared" si="2566"/>
        <v>29.503217158176898</v>
      </c>
      <c r="AI131" s="59">
        <v>1</v>
      </c>
      <c r="AJ131" s="59">
        <f>AI131*0.5</f>
        <v>0.5</v>
      </c>
      <c r="AK131" s="59">
        <f t="shared" si="2567"/>
        <v>34.118451451485498</v>
      </c>
      <c r="AL131" s="338"/>
      <c r="AM131" s="59"/>
      <c r="AN131" s="59"/>
      <c r="AO131" s="62"/>
      <c r="AP131" s="62"/>
      <c r="AQ131" s="59"/>
      <c r="AR131" s="59"/>
      <c r="AS131" s="59"/>
      <c r="AT131" s="189">
        <f>VLOOKUP(B:B,综合进度!B:N,13,0)</f>
        <v>3.5441757582153201e-003</v>
      </c>
      <c r="AU131" s="59">
        <f t="shared" si="2568"/>
        <v>21.1728350960631</v>
      </c>
      <c r="AV131" s="59"/>
      <c r="AW131" s="59"/>
      <c r="AX131" s="59">
        <f t="shared" si="2569"/>
        <v>423</v>
      </c>
      <c r="AY131" s="59">
        <v>392</v>
      </c>
      <c r="AZ131" s="59">
        <f t="shared" si="2570"/>
        <v>366.88983812198802</v>
      </c>
      <c r="BA131" s="59">
        <f t="shared" si="2571"/>
        <v>56.1101618780121</v>
      </c>
      <c r="BB131" s="43">
        <f t="shared" si="2490"/>
        <v>0.152934630637973</v>
      </c>
      <c r="BC131" s="50">
        <v>1164</v>
      </c>
      <c r="BD131" s="50">
        <f t="shared" si="2572"/>
        <v>1220.1101618780101</v>
      </c>
      <c r="BG131" s="340"/>
    </row>
    <row r="132" s="5" customFormat="1" ht="17" customHeight="1">
      <c r="A132" s="65"/>
      <c r="B132" s="66" t="s">
        <v>176</v>
      </c>
      <c r="C132" s="67">
        <v>1</v>
      </c>
      <c r="D132" s="67"/>
      <c r="E132" s="67"/>
      <c r="F132" s="68"/>
      <c r="G132" s="69">
        <f t="shared" ref="G132:P132" si="2574">G133+G134</f>
        <v>392543</v>
      </c>
      <c r="H132" s="69">
        <f t="shared" si="2574"/>
        <v>309588.90000000002</v>
      </c>
      <c r="I132" s="69">
        <f t="shared" si="2574"/>
        <v>8682.6000000000004</v>
      </c>
      <c r="J132" s="69">
        <f t="shared" si="2574"/>
        <v>106491</v>
      </c>
      <c r="K132" s="69">
        <f t="shared" si="2574"/>
        <v>71460</v>
      </c>
      <c r="L132" s="69">
        <f t="shared" si="2574"/>
        <v>122955.3</v>
      </c>
      <c r="M132" s="69">
        <f t="shared" si="2574"/>
        <v>0</v>
      </c>
      <c r="N132" s="69">
        <f t="shared" si="2574"/>
        <v>40540</v>
      </c>
      <c r="O132" s="69">
        <f t="shared" si="2574"/>
        <v>17911</v>
      </c>
      <c r="P132" s="69">
        <f t="shared" si="2574"/>
        <v>1028.4000000000001</v>
      </c>
      <c r="Q132" s="59">
        <v>1714</v>
      </c>
      <c r="R132" s="69">
        <f t="shared" ref="R132:V132" si="2575">R133+R134</f>
        <v>0</v>
      </c>
      <c r="S132" s="69">
        <f t="shared" si="2575"/>
        <v>0</v>
      </c>
      <c r="T132" s="69">
        <f t="shared" si="2575"/>
        <v>0</v>
      </c>
      <c r="U132" s="69">
        <f t="shared" si="2575"/>
        <v>10066</v>
      </c>
      <c r="V132" s="69">
        <f t="shared" si="2575"/>
        <v>4499.94786710076</v>
      </c>
      <c r="W132" s="69"/>
      <c r="X132" s="69">
        <f t="shared" ref="X132:AC132" si="2576">X133+X134</f>
        <v>8.5413731115923497</v>
      </c>
      <c r="Y132" s="69">
        <f t="shared" si="2576"/>
        <v>31.6214646802818</v>
      </c>
      <c r="Z132" s="69">
        <f t="shared" si="2576"/>
        <v>26.643910263884901</v>
      </c>
      <c r="AA132" s="69">
        <f t="shared" si="2576"/>
        <v>2110.7557484965901</v>
      </c>
      <c r="AB132" s="69">
        <f t="shared" si="2576"/>
        <v>111994.4295</v>
      </c>
      <c r="AC132" s="69">
        <f t="shared" si="2576"/>
        <v>1412.9573293661899</v>
      </c>
      <c r="AD132" s="69"/>
      <c r="AE132" s="69"/>
      <c r="AF132" s="69">
        <f t="shared" ref="AF132:AK132" si="2577">AF133+AF134</f>
        <v>218</v>
      </c>
      <c r="AG132" s="59">
        <f t="shared" si="2577"/>
        <v>214</v>
      </c>
      <c r="AH132" s="59">
        <f t="shared" si="2577"/>
        <v>360.78219839142099</v>
      </c>
      <c r="AI132" s="69">
        <f t="shared" si="2577"/>
        <v>5.8080299090563798</v>
      </c>
      <c r="AJ132" s="59">
        <f t="shared" si="2577"/>
        <v>5.5270947501826999</v>
      </c>
      <c r="AK132" s="59">
        <f t="shared" si="2577"/>
        <v>377.15182780373698</v>
      </c>
      <c r="AL132" s="69"/>
      <c r="AM132" s="69"/>
      <c r="AN132" s="69">
        <f t="shared" ref="AN132:AU132" si="2578">AN133+AN134</f>
        <v>14000</v>
      </c>
      <c r="AO132" s="69"/>
      <c r="AP132" s="69"/>
      <c r="AQ132" s="69">
        <f t="shared" si="2578"/>
        <v>0</v>
      </c>
      <c r="AR132" s="69"/>
      <c r="AS132" s="69">
        <f t="shared" si="2578"/>
        <v>0</v>
      </c>
      <c r="AT132" s="403">
        <f t="shared" si="2578"/>
        <v>5.8465802374910697e-002</v>
      </c>
      <c r="AU132" s="69">
        <f t="shared" si="2578"/>
        <v>349.27353407166902</v>
      </c>
      <c r="AV132" s="69"/>
      <c r="AW132" s="71"/>
      <c r="AX132" s="69">
        <f t="shared" ref="AX132:BA132" si="2579">AX133+AX134</f>
        <v>23111</v>
      </c>
      <c r="AY132" s="69">
        <v>13404</v>
      </c>
      <c r="AZ132" s="69">
        <f t="shared" si="2579"/>
        <v>12545.386199457</v>
      </c>
      <c r="BA132" s="69">
        <f t="shared" si="2579"/>
        <v>10565.613800543</v>
      </c>
      <c r="BB132" s="336">
        <f t="shared" si="2490"/>
        <v>0.84219119543728305</v>
      </c>
      <c r="BC132" s="404">
        <v>504</v>
      </c>
      <c r="BD132" s="69">
        <f>BD133+BD134</f>
        <v>11068.613800543</v>
      </c>
      <c r="BG132" s="340"/>
    </row>
    <row r="133" s="5" customFormat="1" ht="17" customHeight="1">
      <c r="A133" s="44"/>
      <c r="B133" s="72" t="s">
        <v>177</v>
      </c>
      <c r="C133" s="46">
        <v>2</v>
      </c>
      <c r="D133" s="46"/>
      <c r="E133" s="46"/>
      <c r="F133" s="46"/>
      <c r="G133" s="73"/>
      <c r="H133" s="59">
        <f t="shared" ref="H133:H146" si="2580">SUM(I133:M133)</f>
        <v>0</v>
      </c>
      <c r="I133" s="59">
        <f t="shared" ref="I133:I146" si="2581">IF(D133="",G133*0.6,0)</f>
        <v>0</v>
      </c>
      <c r="J133" s="59">
        <f t="shared" ref="J133:J146" si="2582">IF(D133=2017,G133*0.7,0)</f>
        <v>0</v>
      </c>
      <c r="K133" s="59">
        <f t="shared" ref="K133:K146" si="2583">IF(D133=2018,G133*0.8,0)</f>
        <v>0</v>
      </c>
      <c r="L133" s="59">
        <f t="shared" ref="L133:L146" si="2584">IF(D133=2019,G133*0.9,0)</f>
        <v>0</v>
      </c>
      <c r="M133" s="59">
        <f t="shared" ref="M133:M146" si="2585">IF(D133=2020,G133*1,0)</f>
        <v>0</v>
      </c>
      <c r="N133" s="59"/>
      <c r="O133" s="59"/>
      <c r="P133" s="59">
        <f>L133*0.4+M133*0.6+N133*0.8+O133*1</f>
        <v>0</v>
      </c>
      <c r="Q133" s="59"/>
      <c r="R133" s="59"/>
      <c r="S133" s="59"/>
      <c r="T133" s="59"/>
      <c r="U133" s="59"/>
      <c r="V133" s="59">
        <f>H133/$H$9*134866+N133/$N$9*202299+P133/$P$9*100000+U133/$U$9*34867</f>
        <v>0</v>
      </c>
      <c r="W133" s="59"/>
      <c r="X133" s="62"/>
      <c r="Y133" s="62"/>
      <c r="Z133" s="62"/>
      <c r="AA133" s="59"/>
      <c r="AB133" s="59"/>
      <c r="AC133" s="59"/>
      <c r="AD133" s="59"/>
      <c r="AE133" s="59"/>
      <c r="AF133" s="59"/>
      <c r="AG133" s="59">
        <f t="shared" ref="AG133:AG146" si="2586">AF133</f>
        <v>0</v>
      </c>
      <c r="AH133" s="59">
        <f>AG133/$AG$9*40459.89</f>
        <v>0</v>
      </c>
      <c r="AI133" s="59"/>
      <c r="AJ133" s="59">
        <f t="shared" ref="AJ133:AJ146" si="2587">AI133</f>
        <v>0</v>
      </c>
      <c r="AK133" s="59">
        <f>AJ133/$AJ$9*40459.89</f>
        <v>0</v>
      </c>
      <c r="AL133" s="59"/>
      <c r="AM133" s="59"/>
      <c r="AN133" s="59"/>
      <c r="AO133" s="62"/>
      <c r="AP133" s="59"/>
      <c r="AQ133" s="59"/>
      <c r="AR133" s="59"/>
      <c r="AS133" s="59"/>
      <c r="AT133" s="189"/>
      <c r="AU133" s="59"/>
      <c r="AV133" s="59"/>
      <c r="AW133" s="59"/>
      <c r="AX133" s="59">
        <f>V133+AA133+AC133+AE133+AH133+AK133+AM133+AN133+AQ133+AS133+AU133+AW133</f>
        <v>0</v>
      </c>
      <c r="AY133" s="59"/>
      <c r="AZ133" s="170"/>
      <c r="BA133" s="50"/>
      <c r="BB133" s="43"/>
      <c r="BC133" s="50">
        <v>1</v>
      </c>
      <c r="BD133" s="50"/>
      <c r="BG133" s="340"/>
    </row>
    <row r="134" s="5" customFormat="1" ht="17" customHeight="1">
      <c r="A134" s="75"/>
      <c r="B134" s="76" t="s">
        <v>76</v>
      </c>
      <c r="C134" s="77">
        <v>3</v>
      </c>
      <c r="D134" s="77"/>
      <c r="E134" s="77"/>
      <c r="F134" s="78"/>
      <c r="G134" s="79">
        <f t="shared" ref="G134:P134" si="2588">SUM(G135:G146)</f>
        <v>392543</v>
      </c>
      <c r="H134" s="79">
        <f t="shared" si="2588"/>
        <v>309588.90000000002</v>
      </c>
      <c r="I134" s="79">
        <f t="shared" si="2588"/>
        <v>8682.6000000000004</v>
      </c>
      <c r="J134" s="79">
        <f t="shared" si="2588"/>
        <v>106491</v>
      </c>
      <c r="K134" s="79">
        <f t="shared" si="2588"/>
        <v>71460</v>
      </c>
      <c r="L134" s="79">
        <f t="shared" si="2588"/>
        <v>122955.3</v>
      </c>
      <c r="M134" s="79">
        <f t="shared" si="2588"/>
        <v>0</v>
      </c>
      <c r="N134" s="79">
        <f t="shared" si="2588"/>
        <v>40540</v>
      </c>
      <c r="O134" s="79">
        <f t="shared" si="2588"/>
        <v>17911</v>
      </c>
      <c r="P134" s="79">
        <f t="shared" si="2588"/>
        <v>1028.4000000000001</v>
      </c>
      <c r="Q134" s="59">
        <v>1714</v>
      </c>
      <c r="R134" s="79">
        <f t="shared" ref="R134:V134" si="2589">SUM(R135:R146)</f>
        <v>0</v>
      </c>
      <c r="S134" s="79">
        <f t="shared" si="2589"/>
        <v>0</v>
      </c>
      <c r="T134" s="79">
        <f t="shared" si="2589"/>
        <v>0</v>
      </c>
      <c r="U134" s="79">
        <f t="shared" si="2589"/>
        <v>10066</v>
      </c>
      <c r="V134" s="79">
        <f t="shared" si="2589"/>
        <v>4499.94786710076</v>
      </c>
      <c r="W134" s="79"/>
      <c r="X134" s="79">
        <f t="shared" ref="X134:AC134" si="2590">SUM(X135:X146)</f>
        <v>8.5413731115923497</v>
      </c>
      <c r="Y134" s="79">
        <f t="shared" si="2590"/>
        <v>31.6214646802818</v>
      </c>
      <c r="Z134" s="79">
        <f t="shared" si="2590"/>
        <v>26.643910263884901</v>
      </c>
      <c r="AA134" s="79">
        <f t="shared" si="2590"/>
        <v>2110.7557484965901</v>
      </c>
      <c r="AB134" s="79">
        <f t="shared" si="2590"/>
        <v>111994.4295</v>
      </c>
      <c r="AC134" s="79">
        <f t="shared" si="2590"/>
        <v>1412.9573293661899</v>
      </c>
      <c r="AD134" s="79"/>
      <c r="AE134" s="79"/>
      <c r="AF134" s="79">
        <f t="shared" ref="AF134:AK134" si="2591">SUM(AF135:AF146)</f>
        <v>218</v>
      </c>
      <c r="AG134" s="59">
        <f t="shared" si="2591"/>
        <v>214</v>
      </c>
      <c r="AH134" s="59">
        <f t="shared" si="2591"/>
        <v>360.78219839142099</v>
      </c>
      <c r="AI134" s="79">
        <f t="shared" si="2591"/>
        <v>5.8080299090563798</v>
      </c>
      <c r="AJ134" s="59">
        <f t="shared" si="2591"/>
        <v>5.5270947501826999</v>
      </c>
      <c r="AK134" s="59">
        <f t="shared" si="2591"/>
        <v>377.15182780373698</v>
      </c>
      <c r="AL134" s="79"/>
      <c r="AM134" s="79"/>
      <c r="AN134" s="79">
        <f t="shared" ref="AN134:AU134" si="2592">SUM(AN135:AN146)</f>
        <v>14000</v>
      </c>
      <c r="AO134" s="79"/>
      <c r="AP134" s="79"/>
      <c r="AQ134" s="79">
        <f t="shared" si="2592"/>
        <v>0</v>
      </c>
      <c r="AR134" s="79"/>
      <c r="AS134" s="79">
        <f t="shared" si="2592"/>
        <v>0</v>
      </c>
      <c r="AT134" s="405">
        <f t="shared" si="2592"/>
        <v>5.8465802374910697e-002</v>
      </c>
      <c r="AU134" s="79">
        <f t="shared" si="2592"/>
        <v>349.27353407166902</v>
      </c>
      <c r="AV134" s="79"/>
      <c r="AW134" s="81"/>
      <c r="AX134" s="79">
        <f t="shared" ref="AX134:BA134" si="2593">SUM(AX135:AX146)</f>
        <v>23111</v>
      </c>
      <c r="AY134" s="79">
        <v>13404</v>
      </c>
      <c r="AZ134" s="79">
        <f t="shared" si="2593"/>
        <v>12545.386199457</v>
      </c>
      <c r="BA134" s="79">
        <f t="shared" si="2593"/>
        <v>10565.613800543</v>
      </c>
      <c r="BB134" s="337">
        <f t="shared" si="2490"/>
        <v>0.84219119543728305</v>
      </c>
      <c r="BC134" s="406">
        <v>503</v>
      </c>
      <c r="BD134" s="79">
        <f>SUM(BD135:BD146)</f>
        <v>11068.613800543</v>
      </c>
      <c r="BG134" s="340"/>
    </row>
    <row r="135" ht="17" customHeight="1">
      <c r="A135" s="46">
        <v>88</v>
      </c>
      <c r="B135" s="82" t="s">
        <v>178</v>
      </c>
      <c r="C135" s="46" t="s">
        <v>78</v>
      </c>
      <c r="D135" s="46"/>
      <c r="E135" s="46"/>
      <c r="F135" s="46"/>
      <c r="G135" s="73">
        <v>14471</v>
      </c>
      <c r="H135" s="59">
        <f t="shared" si="2580"/>
        <v>8682.6000000000004</v>
      </c>
      <c r="I135" s="59">
        <f t="shared" si="2581"/>
        <v>8682.6000000000004</v>
      </c>
      <c r="J135" s="59">
        <f t="shared" si="2582"/>
        <v>0</v>
      </c>
      <c r="K135" s="59">
        <f t="shared" si="2583"/>
        <v>0</v>
      </c>
      <c r="L135" s="59">
        <f t="shared" si="2584"/>
        <v>0</v>
      </c>
      <c r="M135" s="59">
        <f t="shared" si="2585"/>
        <v>0</v>
      </c>
      <c r="N135" s="59">
        <v>891</v>
      </c>
      <c r="O135" s="59">
        <v>153</v>
      </c>
      <c r="P135" s="59">
        <f t="shared" ref="P135:P146" si="2594">Q135*0.6+R135*0.8+S135*1+T135*1.25</f>
        <v>0</v>
      </c>
      <c r="Q135" s="59"/>
      <c r="R135" s="59"/>
      <c r="S135" s="59"/>
      <c r="T135" s="59"/>
      <c r="U135" s="59">
        <v>379</v>
      </c>
      <c r="V135" s="59">
        <f t="shared" ref="V135:V146" si="2595">H135/$H$9*298699*0.12+N135/$N$9*298699*0.15+P135/$P$9*298699*0.035+U135/$U$9*298699*0.025</f>
        <v>118.14713878886</v>
      </c>
      <c r="W135" s="59">
        <v>12252.440000000001</v>
      </c>
      <c r="X135" s="62">
        <f t="shared" ref="X135:X146" si="2596">($W$64-W135)/($W$64-$W$44)</f>
        <v>0.54963514721591999</v>
      </c>
      <c r="Y135" s="62">
        <f t="shared" ref="Y135:Y146" si="2597">(G135+N135)*X135/10000</f>
        <v>0.84434951315309603</v>
      </c>
      <c r="Z135" s="62">
        <f>Y135*0.2</f>
        <v>0.16886990263061899</v>
      </c>
      <c r="AA135" s="59">
        <f t="shared" ref="AA135:AA146" si="2598">Z135/$Z$9*298699*0.12</f>
        <v>13.3780332614612</v>
      </c>
      <c r="AB135" s="59">
        <v>2585.3499999999999</v>
      </c>
      <c r="AC135" s="59">
        <f t="shared" ref="AC135:AC146" si="2599">(AB135/$AB$9*298699*0.03)</f>
        <v>32.617597569679802</v>
      </c>
      <c r="AD135" s="59"/>
      <c r="AE135" s="59"/>
      <c r="AF135" s="59">
        <v>8</v>
      </c>
      <c r="AG135" s="59">
        <f>AF135*0.5</f>
        <v>4</v>
      </c>
      <c r="AH135" s="59">
        <f t="shared" ref="AH135:AH146" si="2600">AG135/$AG$9*298699*0.02</f>
        <v>6.7435924932975899</v>
      </c>
      <c r="AI135" s="59">
        <v>0.56187031774735197</v>
      </c>
      <c r="AJ135" s="59">
        <f>AI135*0.5</f>
        <v>0.28093515887367598</v>
      </c>
      <c r="AK135" s="59">
        <f t="shared" ref="AK135:AK146" si="2601">AJ135/$AJ$9*298699*0.02</f>
        <v>19.1701451580937</v>
      </c>
      <c r="AL135" s="338"/>
      <c r="AM135" s="59"/>
      <c r="AN135" s="59"/>
      <c r="AO135" s="62"/>
      <c r="AP135" s="62"/>
      <c r="AQ135" s="59"/>
      <c r="AR135" s="59"/>
      <c r="AS135" s="59"/>
      <c r="AT135" s="189">
        <f>VLOOKUP(B:B,综合进度!B:N,13,0)</f>
        <v>3.43961351168693e-003</v>
      </c>
      <c r="AU135" s="59">
        <f t="shared" ref="AU135:AU146" si="2602">AT135/$AT$9*298699*0.02</f>
        <v>20.548182326547501</v>
      </c>
      <c r="AV135" s="59"/>
      <c r="AW135" s="59"/>
      <c r="AX135" s="59">
        <f t="shared" ref="AX135:AX146" si="2603">ROUND(V135+AA135+AC135+AN135+AQ135+AS135+AU135+AW135+AH135+AK135,0)</f>
        <v>211</v>
      </c>
      <c r="AY135" s="59">
        <v>159</v>
      </c>
      <c r="AZ135" s="59">
        <f t="shared" ref="AZ135:AZ146" si="2604">AY135/$AY$9*280243</f>
        <v>148.815010870908</v>
      </c>
      <c r="BA135" s="59">
        <f t="shared" ref="BA135:BA146" si="2605">AX135-AZ135</f>
        <v>62.184989129091598</v>
      </c>
      <c r="BB135" s="43">
        <f t="shared" si="2490"/>
        <v>0.41786771888915702</v>
      </c>
      <c r="BC135" s="50">
        <v>-607</v>
      </c>
      <c r="BD135" s="50">
        <f t="shared" ref="BD135:BD146" si="2606">BC135+BA135</f>
        <v>-544.81501087090805</v>
      </c>
      <c r="BG135" s="340"/>
    </row>
    <row r="136" s="54" customFormat="1" ht="17" customHeight="1">
      <c r="A136" s="46">
        <v>89</v>
      </c>
      <c r="B136" s="82" t="s">
        <v>179</v>
      </c>
      <c r="C136" s="46" t="s">
        <v>90</v>
      </c>
      <c r="D136" s="46">
        <v>2018</v>
      </c>
      <c r="E136" s="46"/>
      <c r="F136" s="46"/>
      <c r="G136" s="190">
        <v>15569</v>
      </c>
      <c r="H136" s="172">
        <f t="shared" si="2580"/>
        <v>12455.200000000001</v>
      </c>
      <c r="I136" s="59">
        <f t="shared" si="2581"/>
        <v>0</v>
      </c>
      <c r="J136" s="59">
        <f t="shared" si="2582"/>
        <v>0</v>
      </c>
      <c r="K136" s="59">
        <f t="shared" si="2583"/>
        <v>12455.200000000001</v>
      </c>
      <c r="L136" s="59">
        <f t="shared" si="2584"/>
        <v>0</v>
      </c>
      <c r="M136" s="59">
        <f t="shared" si="2585"/>
        <v>0</v>
      </c>
      <c r="N136" s="59">
        <v>2137</v>
      </c>
      <c r="O136" s="59">
        <v>1058</v>
      </c>
      <c r="P136" s="59">
        <f t="shared" si="2594"/>
        <v>0</v>
      </c>
      <c r="Q136" s="59"/>
      <c r="R136" s="59"/>
      <c r="S136" s="172"/>
      <c r="T136" s="172"/>
      <c r="U136" s="59">
        <v>0</v>
      </c>
      <c r="V136" s="59">
        <f t="shared" si="2595"/>
        <v>184.85932869802201</v>
      </c>
      <c r="W136" s="59">
        <v>10305.219999999999</v>
      </c>
      <c r="X136" s="62">
        <f t="shared" si="2596"/>
        <v>0.86385391688263102</v>
      </c>
      <c r="Y136" s="62">
        <f t="shared" si="2597"/>
        <v>1.52953974523239</v>
      </c>
      <c r="Z136" s="62">
        <f t="shared" ref="Z136:Z138" si="2607">Y136*0.5</f>
        <v>0.764769872616193</v>
      </c>
      <c r="AA136" s="59">
        <f t="shared" si="2598"/>
        <v>60.585791984508298</v>
      </c>
      <c r="AB136" s="59">
        <v>2860.3800000000001</v>
      </c>
      <c r="AC136" s="59">
        <f t="shared" si="2599"/>
        <v>36.087463490962797</v>
      </c>
      <c r="AD136" s="59"/>
      <c r="AE136" s="59"/>
      <c r="AF136" s="59">
        <v>5</v>
      </c>
      <c r="AG136" s="59">
        <f t="shared" si="2586"/>
        <v>5</v>
      </c>
      <c r="AH136" s="59">
        <f t="shared" si="2600"/>
        <v>8.4294906166219796</v>
      </c>
      <c r="AI136" s="59">
        <v>0.38961038961039002</v>
      </c>
      <c r="AJ136" s="59">
        <f t="shared" si="2587"/>
        <v>0.38961038961039002</v>
      </c>
      <c r="AK136" s="59">
        <f t="shared" si="2601"/>
        <v>26.585806325832898</v>
      </c>
      <c r="AL136" s="338"/>
      <c r="AM136" s="59"/>
      <c r="AN136" s="59"/>
      <c r="AO136" s="62"/>
      <c r="AP136" s="62"/>
      <c r="AQ136" s="59"/>
      <c r="AR136" s="59"/>
      <c r="AS136" s="59"/>
      <c r="AT136" s="189">
        <f>VLOOKUP(B:B,综合进度!B:N,13,0)</f>
        <v>6.2994755470036599e-003</v>
      </c>
      <c r="AU136" s="59">
        <f t="shared" si="2602"/>
        <v>37.632940928288903</v>
      </c>
      <c r="AV136" s="59"/>
      <c r="AW136" s="59"/>
      <c r="AX136" s="59">
        <f t="shared" si="2603"/>
        <v>354</v>
      </c>
      <c r="AY136" s="59">
        <v>2288</v>
      </c>
      <c r="AZ136" s="59">
        <f t="shared" si="2604"/>
        <v>2141.4386469977298</v>
      </c>
      <c r="BA136" s="59">
        <f t="shared" si="2605"/>
        <v>-1787.4386469977301</v>
      </c>
      <c r="BB136" s="43">
        <f t="shared" si="2490"/>
        <v>-0.83469057098773103</v>
      </c>
      <c r="BC136" s="50">
        <v>-6491</v>
      </c>
      <c r="BD136" s="50">
        <f t="shared" si="2606"/>
        <v>-8278.4386469977308</v>
      </c>
      <c r="BG136" s="340"/>
    </row>
    <row r="137" ht="17" customHeight="1">
      <c r="A137" s="46">
        <v>90</v>
      </c>
      <c r="B137" s="82" t="s">
        <v>180</v>
      </c>
      <c r="C137" s="46" t="s">
        <v>90</v>
      </c>
      <c r="D137" s="46">
        <v>2017</v>
      </c>
      <c r="E137" s="46"/>
      <c r="F137" s="46"/>
      <c r="G137" s="73">
        <v>30588</v>
      </c>
      <c r="H137" s="59">
        <f t="shared" si="2580"/>
        <v>21411.599999999999</v>
      </c>
      <c r="I137" s="59">
        <f t="shared" si="2581"/>
        <v>0</v>
      </c>
      <c r="J137" s="59">
        <f t="shared" si="2582"/>
        <v>21411.599999999999</v>
      </c>
      <c r="K137" s="59">
        <f t="shared" si="2583"/>
        <v>0</v>
      </c>
      <c r="L137" s="59">
        <f t="shared" si="2584"/>
        <v>0</v>
      </c>
      <c r="M137" s="59">
        <f t="shared" si="2585"/>
        <v>0</v>
      </c>
      <c r="N137" s="59">
        <v>1438</v>
      </c>
      <c r="O137" s="59">
        <v>820</v>
      </c>
      <c r="P137" s="59">
        <f t="shared" si="2594"/>
        <v>0</v>
      </c>
      <c r="Q137" s="59"/>
      <c r="R137" s="59"/>
      <c r="S137" s="59"/>
      <c r="T137" s="59"/>
      <c r="U137" s="59">
        <v>701</v>
      </c>
      <c r="V137" s="59">
        <f t="shared" si="2595"/>
        <v>241.595603600755</v>
      </c>
      <c r="W137" s="59">
        <v>11053.360000000001</v>
      </c>
      <c r="X137" s="62">
        <f t="shared" si="2596"/>
        <v>0.743128148690822</v>
      </c>
      <c r="Y137" s="62">
        <f t="shared" si="2597"/>
        <v>2.37994220899723</v>
      </c>
      <c r="Z137" s="62">
        <f t="shared" si="2607"/>
        <v>1.1899711044986101</v>
      </c>
      <c r="AA137" s="59">
        <f t="shared" si="2598"/>
        <v>94.270635371786298</v>
      </c>
      <c r="AB137" s="59">
        <v>1163.2</v>
      </c>
      <c r="AC137" s="59">
        <f t="shared" si="2599"/>
        <v>14.675301020384699</v>
      </c>
      <c r="AD137" s="59"/>
      <c r="AE137" s="59"/>
      <c r="AF137" s="59">
        <v>8</v>
      </c>
      <c r="AG137" s="59">
        <f t="shared" si="2586"/>
        <v>8</v>
      </c>
      <c r="AH137" s="59">
        <f t="shared" si="2600"/>
        <v>13.487184986595199</v>
      </c>
      <c r="AI137" s="59">
        <v>0.65594269758407198</v>
      </c>
      <c r="AJ137" s="59">
        <f t="shared" si="2587"/>
        <v>0.65594269758407198</v>
      </c>
      <c r="AK137" s="59">
        <f t="shared" si="2601"/>
        <v>44.759498164957201</v>
      </c>
      <c r="AL137" s="338"/>
      <c r="AM137" s="59"/>
      <c r="AN137" s="59"/>
      <c r="AO137" s="62"/>
      <c r="AP137" s="62"/>
      <c r="AQ137" s="59"/>
      <c r="AR137" s="59"/>
      <c r="AS137" s="59"/>
      <c r="AT137" s="189">
        <f>VLOOKUP(B:B,综合进度!B:N,13,0)</f>
        <v>3.2385335877353899e-003</v>
      </c>
      <c r="AU137" s="59">
        <f t="shared" si="2602"/>
        <v>19.346934882459401</v>
      </c>
      <c r="AV137" s="59"/>
      <c r="AW137" s="59"/>
      <c r="AX137" s="59">
        <f t="shared" si="2603"/>
        <v>428</v>
      </c>
      <c r="AY137" s="59">
        <v>319</v>
      </c>
      <c r="AZ137" s="59">
        <f t="shared" si="2604"/>
        <v>298.56596520641398</v>
      </c>
      <c r="BA137" s="59">
        <f t="shared" si="2605"/>
        <v>129.43403479358599</v>
      </c>
      <c r="BB137" s="43">
        <f t="shared" si="2490"/>
        <v>0.43351905400236102</v>
      </c>
      <c r="BC137" s="50">
        <v>1346</v>
      </c>
      <c r="BD137" s="50">
        <f t="shared" si="2606"/>
        <v>1475.4340347935899</v>
      </c>
      <c r="BG137" s="340"/>
    </row>
    <row r="138" ht="17" customHeight="1">
      <c r="A138" s="46">
        <v>91</v>
      </c>
      <c r="B138" s="82" t="s">
        <v>181</v>
      </c>
      <c r="C138" s="46" t="s">
        <v>90</v>
      </c>
      <c r="D138" s="46">
        <v>2017</v>
      </c>
      <c r="E138" s="46"/>
      <c r="F138" s="46"/>
      <c r="G138" s="73">
        <v>34586</v>
      </c>
      <c r="H138" s="59">
        <f t="shared" si="2580"/>
        <v>24210.200000000001</v>
      </c>
      <c r="I138" s="59">
        <f t="shared" si="2581"/>
        <v>0</v>
      </c>
      <c r="J138" s="59">
        <f t="shared" si="2582"/>
        <v>24210.200000000001</v>
      </c>
      <c r="K138" s="59">
        <f t="shared" si="2583"/>
        <v>0</v>
      </c>
      <c r="L138" s="59">
        <f t="shared" si="2584"/>
        <v>0</v>
      </c>
      <c r="M138" s="59">
        <f t="shared" si="2585"/>
        <v>0</v>
      </c>
      <c r="N138" s="59">
        <v>3139</v>
      </c>
      <c r="O138" s="59">
        <v>1427</v>
      </c>
      <c r="P138" s="59">
        <f t="shared" si="2594"/>
        <v>0</v>
      </c>
      <c r="Q138" s="59"/>
      <c r="R138" s="59"/>
      <c r="S138" s="59"/>
      <c r="T138" s="59"/>
      <c r="U138" s="59">
        <v>61</v>
      </c>
      <c r="V138" s="59">
        <f t="shared" si="2595"/>
        <v>311.71510620713701</v>
      </c>
      <c r="W138" s="59">
        <v>10633.58</v>
      </c>
      <c r="X138" s="62">
        <f t="shared" si="2596"/>
        <v>0.81086715873113202</v>
      </c>
      <c r="Y138" s="62">
        <f t="shared" si="2597"/>
        <v>3.0589963563131999</v>
      </c>
      <c r="Z138" s="62">
        <f t="shared" si="2607"/>
        <v>1.5294981781565999</v>
      </c>
      <c r="AA138" s="59">
        <f t="shared" si="2598"/>
        <v>121.16829098599401</v>
      </c>
      <c r="AB138" s="59">
        <v>17233.5</v>
      </c>
      <c r="AC138" s="59">
        <f t="shared" si="2599"/>
        <v>217.423315109009</v>
      </c>
      <c r="AD138" s="59"/>
      <c r="AE138" s="59"/>
      <c r="AF138" s="59">
        <v>42</v>
      </c>
      <c r="AG138" s="59">
        <f t="shared" si="2586"/>
        <v>42</v>
      </c>
      <c r="AH138" s="59">
        <f t="shared" si="2600"/>
        <v>70.807721179624707</v>
      </c>
      <c r="AI138" s="59">
        <v>0.25648079568299698</v>
      </c>
      <c r="AJ138" s="59">
        <f t="shared" si="2587"/>
        <v>0.25648079568299698</v>
      </c>
      <c r="AK138" s="59">
        <f t="shared" si="2601"/>
        <v>17.501455151497399</v>
      </c>
      <c r="AL138" s="338"/>
      <c r="AM138" s="59"/>
      <c r="AN138" s="59"/>
      <c r="AO138" s="62"/>
      <c r="AP138" s="62"/>
      <c r="AQ138" s="59"/>
      <c r="AR138" s="59"/>
      <c r="AS138" s="59"/>
      <c r="AT138" s="189">
        <f>VLOOKUP(B:B,综合进度!B:N,13,0)</f>
        <v>3.4525375589900299e-003</v>
      </c>
      <c r="AU138" s="59">
        <f t="shared" si="2602"/>
        <v>20.6253903266553</v>
      </c>
      <c r="AV138" s="59"/>
      <c r="AW138" s="59"/>
      <c r="AX138" s="59">
        <f t="shared" si="2603"/>
        <v>759</v>
      </c>
      <c r="AY138" s="59">
        <v>407</v>
      </c>
      <c r="AZ138" s="59">
        <f t="shared" si="2604"/>
        <v>380.92899009094202</v>
      </c>
      <c r="BA138" s="59">
        <f t="shared" si="2605"/>
        <v>378.07100990905798</v>
      </c>
      <c r="BB138" s="43">
        <f t="shared" si="2490"/>
        <v>0.99249734135172796</v>
      </c>
      <c r="BC138" s="50">
        <v>2763</v>
      </c>
      <c r="BD138" s="50">
        <f t="shared" si="2606"/>
        <v>3141.0710099090602</v>
      </c>
      <c r="BG138" s="340"/>
    </row>
    <row r="139" ht="17" customHeight="1">
      <c r="A139" s="46">
        <v>92</v>
      </c>
      <c r="B139" s="82" t="s">
        <v>182</v>
      </c>
      <c r="C139" s="46" t="s">
        <v>90</v>
      </c>
      <c r="D139" s="46">
        <v>2019</v>
      </c>
      <c r="E139" s="46" t="s">
        <v>91</v>
      </c>
      <c r="F139" s="46"/>
      <c r="G139" s="73">
        <v>63053</v>
      </c>
      <c r="H139" s="59">
        <f t="shared" si="2580"/>
        <v>56747.699999999997</v>
      </c>
      <c r="I139" s="59">
        <f t="shared" si="2581"/>
        <v>0</v>
      </c>
      <c r="J139" s="59">
        <f t="shared" si="2582"/>
        <v>0</v>
      </c>
      <c r="K139" s="59">
        <f t="shared" si="2583"/>
        <v>0</v>
      </c>
      <c r="L139" s="59">
        <f t="shared" si="2584"/>
        <v>56747.699999999997</v>
      </c>
      <c r="M139" s="59">
        <f t="shared" si="2585"/>
        <v>0</v>
      </c>
      <c r="N139" s="59">
        <v>7716</v>
      </c>
      <c r="O139" s="59">
        <v>1481</v>
      </c>
      <c r="P139" s="59">
        <f t="shared" si="2594"/>
        <v>0</v>
      </c>
      <c r="Q139" s="59"/>
      <c r="R139" s="59"/>
      <c r="S139" s="59"/>
      <c r="T139" s="59"/>
      <c r="U139" s="59">
        <v>2557</v>
      </c>
      <c r="V139" s="59">
        <f t="shared" si="2595"/>
        <v>870.78283017733702</v>
      </c>
      <c r="W139" s="59">
        <v>10601.57</v>
      </c>
      <c r="X139" s="62">
        <f t="shared" si="2596"/>
        <v>0.81603254467469899</v>
      </c>
      <c r="Y139" s="62">
        <f t="shared" si="2597"/>
        <v>5.7749807154083701</v>
      </c>
      <c r="Z139" s="62">
        <f t="shared" ref="Z139:Z145" si="2608">Y139*1</f>
        <v>5.7749807154083701</v>
      </c>
      <c r="AA139" s="59">
        <f t="shared" si="2598"/>
        <v>457.49942939223303</v>
      </c>
      <c r="AB139" s="59">
        <v>15802.719499999999</v>
      </c>
      <c r="AC139" s="59">
        <f t="shared" si="2599"/>
        <v>199.37213342778799</v>
      </c>
      <c r="AD139" s="59"/>
      <c r="AE139" s="59"/>
      <c r="AF139" s="59">
        <v>10</v>
      </c>
      <c r="AG139" s="59">
        <f t="shared" si="2586"/>
        <v>10</v>
      </c>
      <c r="AH139" s="59">
        <f t="shared" si="2600"/>
        <v>16.858981233243998</v>
      </c>
      <c r="AI139" s="59">
        <v>0.167782760951035</v>
      </c>
      <c r="AJ139" s="59">
        <f t="shared" si="2587"/>
        <v>0.167782760951035</v>
      </c>
      <c r="AK139" s="59">
        <f t="shared" si="2601"/>
        <v>11.448975967808201</v>
      </c>
      <c r="AL139" s="338"/>
      <c r="AM139" s="59"/>
      <c r="AN139" s="59">
        <v>2000</v>
      </c>
      <c r="AO139" s="62"/>
      <c r="AP139" s="62"/>
      <c r="AQ139" s="59"/>
      <c r="AR139" s="59"/>
      <c r="AS139" s="59"/>
      <c r="AT139" s="189">
        <f>VLOOKUP(B:B,综合进度!B:N,13,0)</f>
        <v>6.9544034560761201e-003</v>
      </c>
      <c r="AU139" s="59">
        <f t="shared" si="2602"/>
        <v>41.545467158529597</v>
      </c>
      <c r="AV139" s="59"/>
      <c r="AW139" s="59"/>
      <c r="AX139" s="59">
        <f t="shared" si="2603"/>
        <v>3598</v>
      </c>
      <c r="AY139" s="59">
        <v>2037</v>
      </c>
      <c r="AZ139" s="59">
        <f t="shared" si="2604"/>
        <v>1906.5168373839001</v>
      </c>
      <c r="BA139" s="59">
        <f t="shared" si="2605"/>
        <v>1691.4831626160999</v>
      </c>
      <c r="BB139" s="43">
        <f t="shared" si="2490"/>
        <v>0.88721123750322095</v>
      </c>
      <c r="BC139" s="50">
        <v>-510</v>
      </c>
      <c r="BD139" s="50">
        <f t="shared" si="2606"/>
        <v>1181.4831626160999</v>
      </c>
      <c r="BG139" s="340"/>
    </row>
    <row r="140" ht="17" customHeight="1">
      <c r="A140" s="46">
        <v>93</v>
      </c>
      <c r="B140" s="82" t="s">
        <v>183</v>
      </c>
      <c r="C140" s="46" t="s">
        <v>90</v>
      </c>
      <c r="D140" s="46">
        <v>2018</v>
      </c>
      <c r="E140" s="46" t="s">
        <v>91</v>
      </c>
      <c r="F140" s="46"/>
      <c r="G140" s="73">
        <v>53447</v>
      </c>
      <c r="H140" s="59">
        <f t="shared" si="2580"/>
        <v>42757.599999999999</v>
      </c>
      <c r="I140" s="59">
        <f t="shared" si="2581"/>
        <v>0</v>
      </c>
      <c r="J140" s="59">
        <f t="shared" si="2582"/>
        <v>0</v>
      </c>
      <c r="K140" s="59">
        <f t="shared" si="2583"/>
        <v>42757.599999999999</v>
      </c>
      <c r="L140" s="59">
        <f t="shared" si="2584"/>
        <v>0</v>
      </c>
      <c r="M140" s="59">
        <f t="shared" si="2585"/>
        <v>0</v>
      </c>
      <c r="N140" s="59">
        <v>6456</v>
      </c>
      <c r="O140" s="59">
        <v>1813</v>
      </c>
      <c r="P140" s="59">
        <f t="shared" si="2594"/>
        <v>0</v>
      </c>
      <c r="Q140" s="59"/>
      <c r="R140" s="59"/>
      <c r="S140" s="59"/>
      <c r="T140" s="59"/>
      <c r="U140" s="59">
        <v>1464</v>
      </c>
      <c r="V140" s="59">
        <f t="shared" si="2595"/>
        <v>664.76698235901802</v>
      </c>
      <c r="W140" s="59">
        <v>11188.459999999999</v>
      </c>
      <c r="X140" s="62">
        <f t="shared" si="2596"/>
        <v>0.72132734766064999</v>
      </c>
      <c r="Y140" s="62">
        <f t="shared" si="2597"/>
        <v>4.32096721069159</v>
      </c>
      <c r="Z140" s="62">
        <f t="shared" si="2608"/>
        <v>4.32096721069159</v>
      </c>
      <c r="AA140" s="59">
        <f t="shared" si="2598"/>
        <v>342.31110556603102</v>
      </c>
      <c r="AB140" s="59">
        <v>3070.0900000000001</v>
      </c>
      <c r="AC140" s="59">
        <f t="shared" si="2599"/>
        <v>38.733231524821797</v>
      </c>
      <c r="AD140" s="59"/>
      <c r="AE140" s="59"/>
      <c r="AF140" s="59">
        <v>30</v>
      </c>
      <c r="AG140" s="59">
        <f t="shared" si="2586"/>
        <v>30</v>
      </c>
      <c r="AH140" s="59">
        <f t="shared" si="2600"/>
        <v>50.576943699731899</v>
      </c>
      <c r="AI140" s="59">
        <v>0.79704278869981804</v>
      </c>
      <c r="AJ140" s="59">
        <f t="shared" si="2587"/>
        <v>0.79704278869981804</v>
      </c>
      <c r="AK140" s="59">
        <f t="shared" si="2601"/>
        <v>54.3877313820227</v>
      </c>
      <c r="AL140" s="338"/>
      <c r="AM140" s="59"/>
      <c r="AN140" s="59">
        <v>2000</v>
      </c>
      <c r="AO140" s="62"/>
      <c r="AP140" s="62"/>
      <c r="AQ140" s="59"/>
      <c r="AR140" s="59"/>
      <c r="AS140" s="59"/>
      <c r="AT140" s="189">
        <f>VLOOKUP(B:B,综合进度!B:N,13,0)</f>
        <v>6.69083597608816e-003</v>
      </c>
      <c r="AU140" s="59">
        <f t="shared" si="2602"/>
        <v>39.970920304431203</v>
      </c>
      <c r="AV140" s="59"/>
      <c r="AW140" s="59"/>
      <c r="AX140" s="59">
        <f t="shared" si="2603"/>
        <v>3191</v>
      </c>
      <c r="AY140" s="59">
        <v>2357</v>
      </c>
      <c r="AZ140" s="59">
        <f t="shared" si="2604"/>
        <v>2206.01874605491</v>
      </c>
      <c r="BA140" s="59">
        <f t="shared" si="2605"/>
        <v>984.98125394508804</v>
      </c>
      <c r="BB140" s="43">
        <f t="shared" si="2490"/>
        <v>0.44649722750840598</v>
      </c>
      <c r="BC140" s="50">
        <v>-2205</v>
      </c>
      <c r="BD140" s="50">
        <f t="shared" si="2606"/>
        <v>-1220.01874605491</v>
      </c>
      <c r="BG140" s="340"/>
    </row>
    <row r="141" ht="17" customHeight="1">
      <c r="A141" s="46">
        <v>94</v>
      </c>
      <c r="B141" s="82" t="s">
        <v>184</v>
      </c>
      <c r="C141" s="46" t="s">
        <v>90</v>
      </c>
      <c r="D141" s="46">
        <v>2017</v>
      </c>
      <c r="E141" s="46" t="s">
        <v>91</v>
      </c>
      <c r="F141" s="46"/>
      <c r="G141" s="73">
        <v>28858</v>
      </c>
      <c r="H141" s="59">
        <f t="shared" si="2580"/>
        <v>20200.599999999999</v>
      </c>
      <c r="I141" s="59">
        <f t="shared" si="2581"/>
        <v>0</v>
      </c>
      <c r="J141" s="59">
        <f t="shared" si="2582"/>
        <v>20200.599999999999</v>
      </c>
      <c r="K141" s="59">
        <f t="shared" si="2583"/>
        <v>0</v>
      </c>
      <c r="L141" s="59">
        <f t="shared" si="2584"/>
        <v>0</v>
      </c>
      <c r="M141" s="59">
        <f t="shared" si="2585"/>
        <v>0</v>
      </c>
      <c r="N141" s="59">
        <v>2450</v>
      </c>
      <c r="O141" s="59">
        <v>1314</v>
      </c>
      <c r="P141" s="59">
        <f t="shared" si="2594"/>
        <v>0</v>
      </c>
      <c r="Q141" s="59"/>
      <c r="R141" s="59"/>
      <c r="S141" s="59"/>
      <c r="T141" s="59"/>
      <c r="U141" s="59">
        <v>901</v>
      </c>
      <c r="V141" s="59">
        <f t="shared" si="2595"/>
        <v>294.68609643638803</v>
      </c>
      <c r="W141" s="59">
        <v>10232.51</v>
      </c>
      <c r="X141" s="62">
        <f t="shared" si="2596"/>
        <v>0.875586975675405</v>
      </c>
      <c r="Y141" s="62">
        <f t="shared" si="2597"/>
        <v>2.7412877034445602</v>
      </c>
      <c r="Z141" s="62">
        <f t="shared" si="2608"/>
        <v>2.7412877034445602</v>
      </c>
      <c r="AA141" s="59">
        <f t="shared" si="2598"/>
        <v>217.167402270216</v>
      </c>
      <c r="AB141" s="59">
        <v>16323.6</v>
      </c>
      <c r="AC141" s="59">
        <f t="shared" si="2599"/>
        <v>205.94372742121001</v>
      </c>
      <c r="AD141" s="59"/>
      <c r="AE141" s="59"/>
      <c r="AF141" s="59">
        <v>24</v>
      </c>
      <c r="AG141" s="59">
        <f t="shared" si="2586"/>
        <v>24</v>
      </c>
      <c r="AH141" s="59">
        <f t="shared" si="2600"/>
        <v>40.461554959785502</v>
      </c>
      <c r="AI141" s="59">
        <v>0.60083981721625301</v>
      </c>
      <c r="AJ141" s="59">
        <f t="shared" si="2587"/>
        <v>0.60083981721625301</v>
      </c>
      <c r="AK141" s="59">
        <f t="shared" si="2601"/>
        <v>40.999448267624302</v>
      </c>
      <c r="AL141" s="338"/>
      <c r="AM141" s="59"/>
      <c r="AN141" s="59">
        <v>2000</v>
      </c>
      <c r="AO141" s="62"/>
      <c r="AP141" s="62"/>
      <c r="AQ141" s="59"/>
      <c r="AR141" s="59"/>
      <c r="AS141" s="59"/>
      <c r="AT141" s="189">
        <f>VLOOKUP(B:B,综合进度!B:N,13,0)</f>
        <v>4.2210698077504603e-003</v>
      </c>
      <c r="AU141" s="59">
        <f t="shared" si="2602"/>
        <v>25.2165866101051</v>
      </c>
      <c r="AV141" s="59"/>
      <c r="AW141" s="59"/>
      <c r="AX141" s="59">
        <f t="shared" si="2603"/>
        <v>2824</v>
      </c>
      <c r="AY141" s="59">
        <v>562</v>
      </c>
      <c r="AZ141" s="59">
        <f t="shared" si="2604"/>
        <v>526.00022710346195</v>
      </c>
      <c r="BA141" s="59">
        <f t="shared" si="2605"/>
        <v>2297.99977289654</v>
      </c>
      <c r="BB141" s="43">
        <f t="shared" si="2490"/>
        <v>4.3688189747578399</v>
      </c>
      <c r="BC141" s="50">
        <v>1418</v>
      </c>
      <c r="BD141" s="50">
        <f t="shared" si="2606"/>
        <v>3715.99977289654</v>
      </c>
      <c r="BG141" s="340"/>
    </row>
    <row r="142" ht="17" customHeight="1">
      <c r="A142" s="46">
        <v>95</v>
      </c>
      <c r="B142" s="82" t="s">
        <v>185</v>
      </c>
      <c r="C142" s="46" t="s">
        <v>90</v>
      </c>
      <c r="D142" s="46">
        <v>2018</v>
      </c>
      <c r="E142" s="46" t="s">
        <v>91</v>
      </c>
      <c r="F142" s="46"/>
      <c r="G142" s="73">
        <v>20309</v>
      </c>
      <c r="H142" s="59">
        <f t="shared" si="2580"/>
        <v>16247.200000000001</v>
      </c>
      <c r="I142" s="59">
        <f t="shared" si="2581"/>
        <v>0</v>
      </c>
      <c r="J142" s="59">
        <f t="shared" si="2582"/>
        <v>0</v>
      </c>
      <c r="K142" s="59">
        <f t="shared" si="2583"/>
        <v>16247.200000000001</v>
      </c>
      <c r="L142" s="59">
        <f t="shared" si="2584"/>
        <v>0</v>
      </c>
      <c r="M142" s="59">
        <f t="shared" si="2585"/>
        <v>0</v>
      </c>
      <c r="N142" s="59">
        <v>2522</v>
      </c>
      <c r="O142" s="59">
        <v>1192</v>
      </c>
      <c r="P142" s="59">
        <f t="shared" si="2594"/>
        <v>0</v>
      </c>
      <c r="Q142" s="59"/>
      <c r="R142" s="59"/>
      <c r="S142" s="59"/>
      <c r="T142" s="59"/>
      <c r="U142" s="59">
        <v>325</v>
      </c>
      <c r="V142" s="59">
        <f t="shared" si="2595"/>
        <v>244.32720490086299</v>
      </c>
      <c r="W142" s="59">
        <v>11587.610000000001</v>
      </c>
      <c r="X142" s="62">
        <f t="shared" si="2596"/>
        <v>0.65691735705226095</v>
      </c>
      <c r="Y142" s="62">
        <f t="shared" si="2597"/>
        <v>1.49980801788602</v>
      </c>
      <c r="Z142" s="62">
        <f t="shared" si="2608"/>
        <v>1.49980801788602</v>
      </c>
      <c r="AA142" s="59">
        <f t="shared" si="2598"/>
        <v>118.816208433386</v>
      </c>
      <c r="AB142" s="59">
        <v>7447.5</v>
      </c>
      <c r="AC142" s="59">
        <f t="shared" si="2599"/>
        <v>93.960027810621398</v>
      </c>
      <c r="AD142" s="59"/>
      <c r="AE142" s="59"/>
      <c r="AF142" s="59">
        <v>7</v>
      </c>
      <c r="AG142" s="59">
        <f t="shared" si="2586"/>
        <v>7</v>
      </c>
      <c r="AH142" s="59">
        <f t="shared" si="2600"/>
        <v>11.8012868632708</v>
      </c>
      <c r="AI142" s="59">
        <v>3.0393622321873402e-002</v>
      </c>
      <c r="AJ142" s="59">
        <f t="shared" si="2587"/>
        <v>3.0393622321873402e-002</v>
      </c>
      <c r="AK142" s="59">
        <f t="shared" si="2601"/>
        <v>2.0739666552472502</v>
      </c>
      <c r="AL142" s="338"/>
      <c r="AM142" s="59"/>
      <c r="AN142" s="59">
        <v>2000</v>
      </c>
      <c r="AO142" s="62"/>
      <c r="AP142" s="62"/>
      <c r="AQ142" s="59"/>
      <c r="AR142" s="59"/>
      <c r="AS142" s="59"/>
      <c r="AT142" s="189">
        <f>VLOOKUP(B:B,综合进度!B:N,13,0)</f>
        <v>4.5508056699135697e-003</v>
      </c>
      <c r="AU142" s="59">
        <f t="shared" si="2602"/>
        <v>27.186422055950199</v>
      </c>
      <c r="AV142" s="59"/>
      <c r="AW142" s="59"/>
      <c r="AX142" s="59">
        <f t="shared" si="2603"/>
        <v>2498</v>
      </c>
      <c r="AY142" s="59">
        <v>1178</v>
      </c>
      <c r="AZ142" s="59">
        <f t="shared" si="2604"/>
        <v>1102.5414012951601</v>
      </c>
      <c r="BA142" s="59">
        <f t="shared" si="2605"/>
        <v>1395.4585987048399</v>
      </c>
      <c r="BB142" s="43">
        <f t="shared" si="2490"/>
        <v>1.2656745561351199</v>
      </c>
      <c r="BC142" s="50">
        <v>1105</v>
      </c>
      <c r="BD142" s="50">
        <f t="shared" si="2606"/>
        <v>2500.4585987048399</v>
      </c>
      <c r="BG142" s="340"/>
    </row>
    <row r="143" ht="17" customHeight="1">
      <c r="A143" s="46">
        <v>96</v>
      </c>
      <c r="B143" s="82" t="s">
        <v>186</v>
      </c>
      <c r="C143" s="46" t="s">
        <v>90</v>
      </c>
      <c r="D143" s="46">
        <v>2019</v>
      </c>
      <c r="E143" s="46" t="s">
        <v>91</v>
      </c>
      <c r="F143" s="46"/>
      <c r="G143" s="73">
        <v>44723</v>
      </c>
      <c r="H143" s="59">
        <f t="shared" si="2580"/>
        <v>40250.699999999997</v>
      </c>
      <c r="I143" s="59">
        <f t="shared" si="2581"/>
        <v>0</v>
      </c>
      <c r="J143" s="59">
        <f t="shared" si="2582"/>
        <v>0</v>
      </c>
      <c r="K143" s="59">
        <f t="shared" si="2583"/>
        <v>0</v>
      </c>
      <c r="L143" s="59">
        <f t="shared" si="2584"/>
        <v>40250.699999999997</v>
      </c>
      <c r="M143" s="59">
        <f t="shared" si="2585"/>
        <v>0</v>
      </c>
      <c r="N143" s="59">
        <v>6336</v>
      </c>
      <c r="O143" s="59">
        <v>4637</v>
      </c>
      <c r="P143" s="59">
        <f t="shared" si="2594"/>
        <v>1028.4000000000001</v>
      </c>
      <c r="Q143" s="59">
        <v>1714</v>
      </c>
      <c r="R143" s="59"/>
      <c r="S143" s="59"/>
      <c r="T143" s="59"/>
      <c r="U143" s="59">
        <v>1979</v>
      </c>
      <c r="V143" s="59">
        <f t="shared" si="2595"/>
        <v>692.83026446203996</v>
      </c>
      <c r="W143" s="59">
        <v>10597.82</v>
      </c>
      <c r="X143" s="62">
        <f t="shared" si="2596"/>
        <v>0.81663767423697198</v>
      </c>
      <c r="Y143" s="62">
        <f t="shared" si="2597"/>
        <v>4.1696703008865601</v>
      </c>
      <c r="Z143" s="62">
        <f t="shared" si="2608"/>
        <v>4.1696703008865601</v>
      </c>
      <c r="AA143" s="59">
        <f t="shared" si="2598"/>
        <v>330.32522140196301</v>
      </c>
      <c r="AB143" s="59">
        <v>12737.440000000001</v>
      </c>
      <c r="AC143" s="59">
        <f t="shared" si="2599"/>
        <v>160.69959270038601</v>
      </c>
      <c r="AD143" s="59"/>
      <c r="AE143" s="59"/>
      <c r="AF143" s="59">
        <v>16</v>
      </c>
      <c r="AG143" s="59">
        <f t="shared" si="2586"/>
        <v>16</v>
      </c>
      <c r="AH143" s="59">
        <f t="shared" si="2600"/>
        <v>26.974369973190399</v>
      </c>
      <c r="AI143" s="59">
        <v>0.66811779769526203</v>
      </c>
      <c r="AJ143" s="59">
        <f t="shared" si="2587"/>
        <v>0.66811779769526203</v>
      </c>
      <c r="AK143" s="59">
        <f t="shared" si="2601"/>
        <v>45.590289289078399</v>
      </c>
      <c r="AL143" s="338"/>
      <c r="AM143" s="59"/>
      <c r="AN143" s="59">
        <v>2000</v>
      </c>
      <c r="AO143" s="62"/>
      <c r="AP143" s="62"/>
      <c r="AQ143" s="59"/>
      <c r="AR143" s="59"/>
      <c r="AS143" s="59"/>
      <c r="AT143" s="189">
        <f>VLOOKUP(B:B,综合进度!B:N,13,0)</f>
        <v>6.5979878305186803e-003</v>
      </c>
      <c r="AU143" s="59">
        <f t="shared" si="2602"/>
        <v>39.416247339762002</v>
      </c>
      <c r="AV143" s="59"/>
      <c r="AW143" s="59"/>
      <c r="AX143" s="59">
        <f t="shared" si="2603"/>
        <v>3296</v>
      </c>
      <c r="AY143" s="59">
        <v>1825</v>
      </c>
      <c r="AZ143" s="59">
        <f t="shared" si="2604"/>
        <v>1708.0968228893601</v>
      </c>
      <c r="BA143" s="59">
        <f t="shared" si="2605"/>
        <v>1587.9031771106399</v>
      </c>
      <c r="BB143" s="43">
        <f t="shared" si="2490"/>
        <v>0.92963300196566201</v>
      </c>
      <c r="BC143" s="50">
        <v>228</v>
      </c>
      <c r="BD143" s="50">
        <f t="shared" si="2606"/>
        <v>1815.9031771106399</v>
      </c>
      <c r="BG143" s="340"/>
    </row>
    <row r="144" s="5" customFormat="1" ht="17" customHeight="1">
      <c r="A144" s="46">
        <v>97</v>
      </c>
      <c r="B144" s="82" t="s">
        <v>187</v>
      </c>
      <c r="C144" s="46" t="s">
        <v>90</v>
      </c>
      <c r="D144" s="46">
        <v>2017</v>
      </c>
      <c r="E144" s="46" t="s">
        <v>91</v>
      </c>
      <c r="F144" s="46"/>
      <c r="G144" s="73">
        <v>28268</v>
      </c>
      <c r="H144" s="59">
        <f t="shared" si="2580"/>
        <v>19787.599999999999</v>
      </c>
      <c r="I144" s="59">
        <f t="shared" si="2581"/>
        <v>0</v>
      </c>
      <c r="J144" s="59">
        <f t="shared" si="2582"/>
        <v>19787.599999999999</v>
      </c>
      <c r="K144" s="59">
        <f t="shared" si="2583"/>
        <v>0</v>
      </c>
      <c r="L144" s="59">
        <f t="shared" si="2584"/>
        <v>0</v>
      </c>
      <c r="M144" s="59">
        <f t="shared" si="2585"/>
        <v>0</v>
      </c>
      <c r="N144" s="59">
        <v>1632</v>
      </c>
      <c r="O144" s="59">
        <v>1475</v>
      </c>
      <c r="P144" s="59">
        <f t="shared" si="2594"/>
        <v>0</v>
      </c>
      <c r="Q144" s="59"/>
      <c r="R144" s="59"/>
      <c r="S144" s="59"/>
      <c r="T144" s="59"/>
      <c r="U144" s="59">
        <v>0</v>
      </c>
      <c r="V144" s="59">
        <f t="shared" si="2595"/>
        <v>205.60856495136301</v>
      </c>
      <c r="W144" s="59">
        <v>12245.32</v>
      </c>
      <c r="X144" s="62">
        <f t="shared" si="2596"/>
        <v>0.55078408654482303</v>
      </c>
      <c r="Y144" s="62">
        <f t="shared" si="2597"/>
        <v>1.6468444187690201</v>
      </c>
      <c r="Z144" s="62">
        <f t="shared" si="2608"/>
        <v>1.6468444187690201</v>
      </c>
      <c r="AA144" s="59">
        <f t="shared" si="2598"/>
        <v>130.464571054647</v>
      </c>
      <c r="AB144" s="59">
        <v>6727.8000000000002</v>
      </c>
      <c r="AC144" s="59">
        <f t="shared" si="2599"/>
        <v>84.880063793796396</v>
      </c>
      <c r="AD144" s="59"/>
      <c r="AE144" s="59"/>
      <c r="AF144" s="59">
        <v>8</v>
      </c>
      <c r="AG144" s="59">
        <f t="shared" si="2586"/>
        <v>8</v>
      </c>
      <c r="AH144" s="59">
        <f t="shared" si="2600"/>
        <v>13.487184986595199</v>
      </c>
      <c r="AI144" s="59">
        <v>7.6844411979547098e-002</v>
      </c>
      <c r="AJ144" s="59">
        <f t="shared" si="2587"/>
        <v>7.6844411979547098e-002</v>
      </c>
      <c r="AK144" s="59">
        <f t="shared" si="2601"/>
        <v>5.2436246788842498</v>
      </c>
      <c r="AL144" s="338"/>
      <c r="AM144" s="59"/>
      <c r="AN144" s="59">
        <v>2000</v>
      </c>
      <c r="AO144" s="62"/>
      <c r="AP144" s="62"/>
      <c r="AQ144" s="59"/>
      <c r="AR144" s="59"/>
      <c r="AS144" s="59"/>
      <c r="AT144" s="189">
        <f>VLOOKUP(B:B,综合进度!B:N,13,0)</f>
        <v>3.49726343655518e-003</v>
      </c>
      <c r="AU144" s="59">
        <f t="shared" si="2602"/>
        <v>20.8925818247119</v>
      </c>
      <c r="AV144" s="59"/>
      <c r="AW144" s="59"/>
      <c r="AX144" s="59">
        <f t="shared" si="2603"/>
        <v>2461</v>
      </c>
      <c r="AY144" s="59">
        <v>353</v>
      </c>
      <c r="AZ144" s="59">
        <f t="shared" si="2604"/>
        <v>330.38804300270903</v>
      </c>
      <c r="BA144" s="59">
        <f t="shared" si="2605"/>
        <v>2130.6119569972898</v>
      </c>
      <c r="BB144" s="43">
        <f t="shared" si="2490"/>
        <v>6.44881678414683</v>
      </c>
      <c r="BC144" s="50">
        <v>1271</v>
      </c>
      <c r="BD144" s="50">
        <f t="shared" si="2606"/>
        <v>3401.6119569972898</v>
      </c>
      <c r="BG144" s="340"/>
    </row>
    <row r="145" ht="17" customHeight="1">
      <c r="A145" s="46">
        <v>98</v>
      </c>
      <c r="B145" s="82" t="s">
        <v>188</v>
      </c>
      <c r="C145" s="46" t="s">
        <v>90</v>
      </c>
      <c r="D145" s="46">
        <v>2019</v>
      </c>
      <c r="E145" s="46" t="s">
        <v>91</v>
      </c>
      <c r="F145" s="46"/>
      <c r="G145" s="73">
        <v>28841</v>
      </c>
      <c r="H145" s="59">
        <f t="shared" si="2580"/>
        <v>25956.900000000001</v>
      </c>
      <c r="I145" s="59">
        <f t="shared" si="2581"/>
        <v>0</v>
      </c>
      <c r="J145" s="59">
        <f t="shared" si="2582"/>
        <v>0</v>
      </c>
      <c r="K145" s="59">
        <f t="shared" si="2583"/>
        <v>0</v>
      </c>
      <c r="L145" s="59">
        <f t="shared" si="2584"/>
        <v>25956.900000000001</v>
      </c>
      <c r="M145" s="59">
        <f t="shared" si="2585"/>
        <v>0</v>
      </c>
      <c r="N145" s="59">
        <v>2702</v>
      </c>
      <c r="O145" s="59">
        <v>1764</v>
      </c>
      <c r="P145" s="59">
        <f t="shared" si="2594"/>
        <v>0</v>
      </c>
      <c r="Q145" s="59"/>
      <c r="R145" s="59"/>
      <c r="S145" s="59"/>
      <c r="T145" s="59"/>
      <c r="U145" s="59">
        <v>1139</v>
      </c>
      <c r="V145" s="59">
        <f t="shared" si="2595"/>
        <v>355.42146613277998</v>
      </c>
      <c r="W145" s="59">
        <v>11691.16</v>
      </c>
      <c r="X145" s="62">
        <f t="shared" si="2596"/>
        <v>0.64020771273934896</v>
      </c>
      <c r="Y145" s="62">
        <f t="shared" si="2597"/>
        <v>2.0194071882937301</v>
      </c>
      <c r="Z145" s="62">
        <f t="shared" si="2608"/>
        <v>2.0194071882937301</v>
      </c>
      <c r="AA145" s="59">
        <f t="shared" si="2598"/>
        <v>159.97934571278</v>
      </c>
      <c r="AB145" s="59">
        <v>11833</v>
      </c>
      <c r="AC145" s="59">
        <f t="shared" si="2599"/>
        <v>149.28889010850401</v>
      </c>
      <c r="AD145" s="59"/>
      <c r="AE145" s="59"/>
      <c r="AF145" s="59">
        <v>17</v>
      </c>
      <c r="AG145" s="59">
        <f t="shared" si="2586"/>
        <v>17</v>
      </c>
      <c r="AH145" s="59">
        <f t="shared" si="2600"/>
        <v>28.660268096514699</v>
      </c>
      <c r="AI145" s="59">
        <v>1</v>
      </c>
      <c r="AJ145" s="59">
        <f t="shared" si="2587"/>
        <v>1</v>
      </c>
      <c r="AK145" s="59">
        <f t="shared" si="2601"/>
        <v>68.236902902970996</v>
      </c>
      <c r="AL145" s="338"/>
      <c r="AM145" s="59"/>
      <c r="AN145" s="59">
        <v>2000</v>
      </c>
      <c r="AO145" s="62"/>
      <c r="AP145" s="62"/>
      <c r="AQ145" s="59"/>
      <c r="AR145" s="59"/>
      <c r="AS145" s="59"/>
      <c r="AT145" s="189">
        <f>VLOOKUP(B:B,综合进度!B:N,13,0)</f>
        <v>5.9191473097709802e-003</v>
      </c>
      <c r="AU145" s="59">
        <f t="shared" si="2602"/>
        <v>35.360867645625703</v>
      </c>
      <c r="AV145" s="59"/>
      <c r="AW145" s="59"/>
      <c r="AX145" s="59">
        <f t="shared" si="2603"/>
        <v>2797</v>
      </c>
      <c r="AY145" s="59">
        <v>1470</v>
      </c>
      <c r="AZ145" s="59">
        <f t="shared" si="2604"/>
        <v>1375.8368929574499</v>
      </c>
      <c r="BA145" s="59">
        <f t="shared" si="2605"/>
        <v>1421.1631070425501</v>
      </c>
      <c r="BB145" s="43">
        <f t="shared" si="2490"/>
        <v>1.0329444677033299</v>
      </c>
      <c r="BC145" s="50">
        <v>-766</v>
      </c>
      <c r="BD145" s="50">
        <f t="shared" si="2606"/>
        <v>655.16310704254499</v>
      </c>
      <c r="BG145" s="340"/>
    </row>
    <row r="146" s="5" customFormat="1" ht="17" customHeight="1">
      <c r="A146" s="46">
        <v>99</v>
      </c>
      <c r="B146" s="82" t="s">
        <v>189</v>
      </c>
      <c r="C146" s="46" t="s">
        <v>90</v>
      </c>
      <c r="D146" s="46">
        <v>2017</v>
      </c>
      <c r="E146" s="46"/>
      <c r="F146" s="46"/>
      <c r="G146" s="73">
        <v>29830</v>
      </c>
      <c r="H146" s="59">
        <f t="shared" si="2580"/>
        <v>20881</v>
      </c>
      <c r="I146" s="59">
        <f t="shared" si="2581"/>
        <v>0</v>
      </c>
      <c r="J146" s="59">
        <f t="shared" si="2582"/>
        <v>20881</v>
      </c>
      <c r="K146" s="59">
        <f t="shared" si="2583"/>
        <v>0</v>
      </c>
      <c r="L146" s="59">
        <f t="shared" si="2584"/>
        <v>0</v>
      </c>
      <c r="M146" s="59">
        <f t="shared" si="2585"/>
        <v>0</v>
      </c>
      <c r="N146" s="59">
        <v>3121</v>
      </c>
      <c r="O146" s="59">
        <v>777</v>
      </c>
      <c r="P146" s="59">
        <f t="shared" si="2594"/>
        <v>0</v>
      </c>
      <c r="Q146" s="59"/>
      <c r="R146" s="59"/>
      <c r="S146" s="59"/>
      <c r="T146" s="59"/>
      <c r="U146" s="59">
        <v>560</v>
      </c>
      <c r="V146" s="59">
        <f t="shared" si="2595"/>
        <v>315.20728038620302</v>
      </c>
      <c r="W146" s="59">
        <v>12582.370000000001</v>
      </c>
      <c r="X146" s="62">
        <f t="shared" si="2596"/>
        <v>0.49639504148768299</v>
      </c>
      <c r="Y146" s="62">
        <f t="shared" si="2597"/>
        <v>1.63567130120606</v>
      </c>
      <c r="Z146" s="62">
        <f>Y146*0.5</f>
        <v>0.81783565060303198</v>
      </c>
      <c r="AA146" s="59">
        <f t="shared" si="2598"/>
        <v>64.789713061587904</v>
      </c>
      <c r="AB146" s="59">
        <v>14209.85</v>
      </c>
      <c r="AC146" s="59">
        <f t="shared" si="2599"/>
        <v>179.27598538902399</v>
      </c>
      <c r="AD146" s="59"/>
      <c r="AE146" s="59"/>
      <c r="AF146" s="59">
        <v>43</v>
      </c>
      <c r="AG146" s="59">
        <f t="shared" si="2586"/>
        <v>43</v>
      </c>
      <c r="AH146" s="59">
        <f t="shared" si="2600"/>
        <v>72.493619302949099</v>
      </c>
      <c r="AI146" s="59">
        <v>0.60310450956777695</v>
      </c>
      <c r="AJ146" s="59">
        <f t="shared" si="2587"/>
        <v>0.60310450956777695</v>
      </c>
      <c r="AK146" s="59">
        <f t="shared" si="2601"/>
        <v>41.153983859720299</v>
      </c>
      <c r="AL146" s="338"/>
      <c r="AM146" s="59"/>
      <c r="AN146" s="59"/>
      <c r="AO146" s="62"/>
      <c r="AP146" s="62"/>
      <c r="AQ146" s="59"/>
      <c r="AR146" s="59"/>
      <c r="AS146" s="59"/>
      <c r="AT146" s="189">
        <f>VLOOKUP(B:B,综合进度!B:N,13,0)</f>
        <v>3.6041286828214802e-003</v>
      </c>
      <c r="AU146" s="59">
        <f t="shared" si="2602"/>
        <v>21.5309926686019</v>
      </c>
      <c r="AV146" s="59"/>
      <c r="AW146" s="59"/>
      <c r="AX146" s="59">
        <f t="shared" si="2603"/>
        <v>694</v>
      </c>
      <c r="AY146" s="59">
        <v>449</v>
      </c>
      <c r="AZ146" s="59">
        <f t="shared" si="2604"/>
        <v>420.23861560401201</v>
      </c>
      <c r="BA146" s="59">
        <f t="shared" si="2605"/>
        <v>273.76138439598799</v>
      </c>
      <c r="BB146" s="43">
        <f t="shared" si="2490"/>
        <v>0.65144271428390599</v>
      </c>
      <c r="BC146" s="50">
        <v>2951</v>
      </c>
      <c r="BD146" s="50">
        <f t="shared" si="2606"/>
        <v>3224.7613843959898</v>
      </c>
      <c r="BG146" s="340"/>
    </row>
    <row r="147" s="5" customFormat="1" ht="17" customHeight="1">
      <c r="A147" s="65"/>
      <c r="B147" s="66" t="s">
        <v>190</v>
      </c>
      <c r="C147" s="67">
        <v>1</v>
      </c>
      <c r="D147" s="67"/>
      <c r="E147" s="67"/>
      <c r="F147" s="68"/>
      <c r="G147" s="69">
        <f t="shared" ref="G147:P147" si="2609">G148+G149</f>
        <v>351335</v>
      </c>
      <c r="H147" s="69">
        <f t="shared" si="2609"/>
        <v>288578.70000000001</v>
      </c>
      <c r="I147" s="69">
        <f t="shared" si="2609"/>
        <v>27989.400000000001</v>
      </c>
      <c r="J147" s="69">
        <f t="shared" si="2609"/>
        <v>0</v>
      </c>
      <c r="K147" s="69">
        <f t="shared" si="2609"/>
        <v>109024.8</v>
      </c>
      <c r="L147" s="69">
        <f t="shared" si="2609"/>
        <v>151564.5</v>
      </c>
      <c r="M147" s="69">
        <f t="shared" si="2609"/>
        <v>0</v>
      </c>
      <c r="N147" s="69">
        <f t="shared" si="2609"/>
        <v>59014</v>
      </c>
      <c r="O147" s="69">
        <f t="shared" si="2609"/>
        <v>72169</v>
      </c>
      <c r="P147" s="69">
        <f t="shared" si="2609"/>
        <v>10903</v>
      </c>
      <c r="Q147" s="59">
        <v>12897</v>
      </c>
      <c r="R147" s="69">
        <f t="shared" ref="R147:V147" si="2610">R148+R149</f>
        <v>3956</v>
      </c>
      <c r="S147" s="69">
        <f t="shared" si="2610"/>
        <v>0</v>
      </c>
      <c r="T147" s="69">
        <f t="shared" si="2610"/>
        <v>0</v>
      </c>
      <c r="U147" s="69">
        <f t="shared" si="2610"/>
        <v>9488</v>
      </c>
      <c r="V147" s="69">
        <f t="shared" si="2610"/>
        <v>5489.4191776801799</v>
      </c>
      <c r="W147" s="69"/>
      <c r="X147" s="69">
        <f t="shared" ref="X147:AC147" si="2611">X148+X149</f>
        <v>2.6114116139693002</v>
      </c>
      <c r="Y147" s="69">
        <f t="shared" si="2611"/>
        <v>22.136207123262501</v>
      </c>
      <c r="Z147" s="69">
        <f t="shared" si="2611"/>
        <v>13.2730137990518</v>
      </c>
      <c r="AA147" s="69">
        <f t="shared" si="2611"/>
        <v>1051.50069560917</v>
      </c>
      <c r="AB147" s="69">
        <f t="shared" si="2611"/>
        <v>36442.120000000003</v>
      </c>
      <c r="AC147" s="69">
        <f t="shared" si="2611"/>
        <v>459.76537209506603</v>
      </c>
      <c r="AD147" s="69"/>
      <c r="AE147" s="69"/>
      <c r="AF147" s="69">
        <f t="shared" ref="AF147:AK147" si="2612">AF148+AF149</f>
        <v>149</v>
      </c>
      <c r="AG147" s="59">
        <f t="shared" si="2612"/>
        <v>129.5</v>
      </c>
      <c r="AH147" s="59">
        <f t="shared" si="2612"/>
        <v>218.323806970509</v>
      </c>
      <c r="AI147" s="69">
        <f t="shared" si="2612"/>
        <v>2.2944220469844101</v>
      </c>
      <c r="AJ147" s="59">
        <f t="shared" si="2612"/>
        <v>2.0289087733754698</v>
      </c>
      <c r="AK147" s="59">
        <f t="shared" si="2612"/>
        <v>138.446450967808</v>
      </c>
      <c r="AL147" s="69"/>
      <c r="AM147" s="69"/>
      <c r="AN147" s="69">
        <f t="shared" ref="AN147:AU147" si="2613">AN148+AN149</f>
        <v>2000</v>
      </c>
      <c r="AO147" s="69"/>
      <c r="AP147" s="69"/>
      <c r="AQ147" s="69">
        <f t="shared" si="2613"/>
        <v>0</v>
      </c>
      <c r="AR147" s="69"/>
      <c r="AS147" s="69">
        <f t="shared" si="2613"/>
        <v>0</v>
      </c>
      <c r="AT147" s="403">
        <f t="shared" si="2613"/>
        <v>3.3095731292091701e-002</v>
      </c>
      <c r="AU147" s="69">
        <f t="shared" si="2613"/>
        <v>197.71323682433001</v>
      </c>
      <c r="AV147" s="69"/>
      <c r="AW147" s="71"/>
      <c r="AX147" s="69">
        <f t="shared" ref="AX147:BA147" si="2614">AX148+AX149</f>
        <v>9556</v>
      </c>
      <c r="AY147" s="69">
        <v>8381</v>
      </c>
      <c r="AZ147" s="69">
        <f t="shared" si="2614"/>
        <v>7844.1421767866896</v>
      </c>
      <c r="BA147" s="69">
        <f t="shared" si="2614"/>
        <v>1711.85782321331</v>
      </c>
      <c r="BB147" s="336">
        <f t="shared" si="2490"/>
        <v>0.21823391068551101</v>
      </c>
      <c r="BC147" s="404">
        <v>1322</v>
      </c>
      <c r="BD147" s="69">
        <f>BD148+BD149</f>
        <v>3020.85782321331</v>
      </c>
      <c r="BG147" s="340"/>
    </row>
    <row r="148" s="5" customFormat="1" ht="17" customHeight="1">
      <c r="A148" s="44"/>
      <c r="B148" s="72" t="s">
        <v>191</v>
      </c>
      <c r="C148" s="46">
        <v>2</v>
      </c>
      <c r="D148" s="46"/>
      <c r="E148" s="46"/>
      <c r="F148" s="46"/>
      <c r="G148" s="73"/>
      <c r="H148" s="59">
        <f t="shared" ref="H148:H154" si="2615">SUM(I148:M148)</f>
        <v>0</v>
      </c>
      <c r="I148" s="59">
        <f t="shared" ref="I148:I154" si="2616">IF(D148="",G148*0.6,0)</f>
        <v>0</v>
      </c>
      <c r="J148" s="59">
        <f t="shared" ref="J148:J154" si="2617">IF(D148=2017,G148*0.7,0)</f>
        <v>0</v>
      </c>
      <c r="K148" s="59">
        <f t="shared" ref="K148:K154" si="2618">IF(D148=2018,G148*0.8,0)</f>
        <v>0</v>
      </c>
      <c r="L148" s="59">
        <f t="shared" ref="L148:L154" si="2619">IF(D148=2019,G148*0.9,0)</f>
        <v>0</v>
      </c>
      <c r="M148" s="59">
        <f t="shared" ref="M148:M154" si="2620">IF(D148=2020,G148*1,0)</f>
        <v>0</v>
      </c>
      <c r="N148" s="59"/>
      <c r="O148" s="59"/>
      <c r="P148" s="59">
        <f>L148*0.4+M148*0.6+N148*0.8+O148*1</f>
        <v>0</v>
      </c>
      <c r="Q148" s="59"/>
      <c r="R148" s="59"/>
      <c r="S148" s="59"/>
      <c r="T148" s="59"/>
      <c r="U148" s="59"/>
      <c r="V148" s="59">
        <f>H148/$H$9*134866+N148/$N$9*202299+P148/$P$9*100000+U148/$U$9*34867</f>
        <v>0</v>
      </c>
      <c r="W148" s="59"/>
      <c r="X148" s="62"/>
      <c r="Y148" s="62"/>
      <c r="Z148" s="62"/>
      <c r="AA148" s="59"/>
      <c r="AB148" s="59"/>
      <c r="AC148" s="59"/>
      <c r="AD148" s="59"/>
      <c r="AE148" s="59"/>
      <c r="AF148" s="59"/>
      <c r="AG148" s="59">
        <f t="shared" ref="AG148:AG151" si="2621">AF148</f>
        <v>0</v>
      </c>
      <c r="AH148" s="59">
        <f>AG148/$AG$9*40459.89</f>
        <v>0</v>
      </c>
      <c r="AI148" s="59"/>
      <c r="AJ148" s="59">
        <f t="shared" ref="AJ148:AJ151" si="2622">AI148</f>
        <v>0</v>
      </c>
      <c r="AK148" s="59">
        <f>AJ148/$AJ$9*40459.89</f>
        <v>0</v>
      </c>
      <c r="AL148" s="59"/>
      <c r="AM148" s="59"/>
      <c r="AN148" s="59"/>
      <c r="AO148" s="62"/>
      <c r="AP148" s="62"/>
      <c r="AQ148" s="59"/>
      <c r="AR148" s="59"/>
      <c r="AS148" s="59"/>
      <c r="AT148" s="189"/>
      <c r="AU148" s="59"/>
      <c r="AV148" s="59"/>
      <c r="AW148" s="59"/>
      <c r="AX148" s="59">
        <f>V148+AA148+AC148+AE148+AH148+AK148+AM148+AN148+AQ148+AS148+AU148+AW148</f>
        <v>0</v>
      </c>
      <c r="AY148" s="59"/>
      <c r="AZ148" s="170"/>
      <c r="BA148" s="50"/>
      <c r="BB148" s="43"/>
      <c r="BC148" s="50">
        <v>13</v>
      </c>
      <c r="BD148" s="50"/>
      <c r="BG148" s="340"/>
    </row>
    <row r="149" s="5" customFormat="1" ht="17" customHeight="1">
      <c r="A149" s="75"/>
      <c r="B149" s="76" t="s">
        <v>76</v>
      </c>
      <c r="C149" s="77">
        <v>3</v>
      </c>
      <c r="D149" s="77"/>
      <c r="E149" s="77"/>
      <c r="F149" s="78"/>
      <c r="G149" s="79">
        <f t="shared" ref="G149:P149" si="2623">SUM(G150:G154)</f>
        <v>351335</v>
      </c>
      <c r="H149" s="79">
        <f t="shared" si="2623"/>
        <v>288578.70000000001</v>
      </c>
      <c r="I149" s="79">
        <f t="shared" si="2623"/>
        <v>27989.400000000001</v>
      </c>
      <c r="J149" s="79">
        <f t="shared" si="2623"/>
        <v>0</v>
      </c>
      <c r="K149" s="79">
        <f t="shared" si="2623"/>
        <v>109024.8</v>
      </c>
      <c r="L149" s="79">
        <f t="shared" si="2623"/>
        <v>151564.5</v>
      </c>
      <c r="M149" s="79">
        <f t="shared" si="2623"/>
        <v>0</v>
      </c>
      <c r="N149" s="79">
        <f t="shared" si="2623"/>
        <v>59014</v>
      </c>
      <c r="O149" s="79">
        <f t="shared" si="2623"/>
        <v>72169</v>
      </c>
      <c r="P149" s="79">
        <f t="shared" si="2623"/>
        <v>10903</v>
      </c>
      <c r="Q149" s="59">
        <v>12897</v>
      </c>
      <c r="R149" s="79">
        <f t="shared" ref="R149:V149" si="2624">SUM(R150:R154)</f>
        <v>3956</v>
      </c>
      <c r="S149" s="79">
        <f t="shared" si="2624"/>
        <v>0</v>
      </c>
      <c r="T149" s="79">
        <f t="shared" si="2624"/>
        <v>0</v>
      </c>
      <c r="U149" s="79">
        <f t="shared" si="2624"/>
        <v>9488</v>
      </c>
      <c r="V149" s="79">
        <f t="shared" si="2624"/>
        <v>5489.4191776801799</v>
      </c>
      <c r="W149" s="79"/>
      <c r="X149" s="79">
        <f t="shared" ref="X149:AC149" si="2625">SUM(X150:X154)</f>
        <v>2.6114116139693002</v>
      </c>
      <c r="Y149" s="79">
        <f t="shared" si="2625"/>
        <v>22.136207123262501</v>
      </c>
      <c r="Z149" s="79">
        <f t="shared" si="2625"/>
        <v>13.2730137990518</v>
      </c>
      <c r="AA149" s="79">
        <f t="shared" si="2625"/>
        <v>1051.50069560917</v>
      </c>
      <c r="AB149" s="79">
        <f t="shared" si="2625"/>
        <v>36442.120000000003</v>
      </c>
      <c r="AC149" s="79">
        <f t="shared" si="2625"/>
        <v>459.76537209506603</v>
      </c>
      <c r="AD149" s="79"/>
      <c r="AE149" s="79"/>
      <c r="AF149" s="79">
        <f t="shared" ref="AF149:AK149" si="2626">SUM(AF150:AF154)</f>
        <v>149</v>
      </c>
      <c r="AG149" s="59">
        <f t="shared" si="2626"/>
        <v>129.5</v>
      </c>
      <c r="AH149" s="59">
        <f t="shared" si="2626"/>
        <v>218.323806970509</v>
      </c>
      <c r="AI149" s="79">
        <f t="shared" si="2626"/>
        <v>2.2944220469844101</v>
      </c>
      <c r="AJ149" s="59">
        <f t="shared" si="2626"/>
        <v>2.0289087733754698</v>
      </c>
      <c r="AK149" s="59">
        <f t="shared" si="2626"/>
        <v>138.446450967808</v>
      </c>
      <c r="AL149" s="79"/>
      <c r="AM149" s="79"/>
      <c r="AN149" s="79">
        <f t="shared" ref="AN149:AU149" si="2627">SUM(AN150:AN154)</f>
        <v>2000</v>
      </c>
      <c r="AO149" s="79"/>
      <c r="AP149" s="79"/>
      <c r="AQ149" s="79">
        <f t="shared" si="2627"/>
        <v>0</v>
      </c>
      <c r="AR149" s="79"/>
      <c r="AS149" s="79">
        <f t="shared" si="2627"/>
        <v>0</v>
      </c>
      <c r="AT149" s="405">
        <f t="shared" si="2627"/>
        <v>3.3095731292091701e-002</v>
      </c>
      <c r="AU149" s="79">
        <f t="shared" si="2627"/>
        <v>197.71323682433001</v>
      </c>
      <c r="AV149" s="79"/>
      <c r="AW149" s="81"/>
      <c r="AX149" s="79">
        <f t="shared" ref="AX149:BA149" si="2628">SUM(AX150:AX154)</f>
        <v>9556</v>
      </c>
      <c r="AY149" s="79">
        <v>8381</v>
      </c>
      <c r="AZ149" s="79">
        <f t="shared" si="2628"/>
        <v>7844.1421767866896</v>
      </c>
      <c r="BA149" s="79">
        <f t="shared" si="2628"/>
        <v>1711.85782321331</v>
      </c>
      <c r="BB149" s="337">
        <f t="shared" si="2490"/>
        <v>0.21823391068551101</v>
      </c>
      <c r="BC149" s="406">
        <v>1309</v>
      </c>
      <c r="BD149" s="79">
        <f>SUM(BD150:BD154)</f>
        <v>3020.85782321331</v>
      </c>
      <c r="BG149" s="340"/>
    </row>
    <row r="150" ht="17" customHeight="1">
      <c r="A150" s="46">
        <v>100</v>
      </c>
      <c r="B150" s="82" t="s">
        <v>192</v>
      </c>
      <c r="C150" s="46" t="s">
        <v>90</v>
      </c>
      <c r="D150" s="46">
        <v>2019</v>
      </c>
      <c r="E150" s="46"/>
      <c r="F150" s="46"/>
      <c r="G150" s="73">
        <v>86550</v>
      </c>
      <c r="H150" s="59">
        <f t="shared" si="2615"/>
        <v>77895</v>
      </c>
      <c r="I150" s="59">
        <f t="shared" si="2616"/>
        <v>0</v>
      </c>
      <c r="J150" s="59">
        <f t="shared" si="2617"/>
        <v>0</v>
      </c>
      <c r="K150" s="59">
        <f t="shared" si="2618"/>
        <v>0</v>
      </c>
      <c r="L150" s="59">
        <f t="shared" si="2619"/>
        <v>77895</v>
      </c>
      <c r="M150" s="59">
        <f t="shared" si="2620"/>
        <v>0</v>
      </c>
      <c r="N150" s="59">
        <v>18597</v>
      </c>
      <c r="O150" s="59">
        <v>18864</v>
      </c>
      <c r="P150" s="59">
        <f t="shared" ref="P150:P154" si="2629">Q150*0.6+R150*0.8+S150*1+T150*1.25</f>
        <v>3751.1999999999998</v>
      </c>
      <c r="Q150" s="59">
        <v>6252</v>
      </c>
      <c r="R150" s="59"/>
      <c r="S150" s="59"/>
      <c r="T150" s="59"/>
      <c r="U150" s="59">
        <v>1694</v>
      </c>
      <c r="V150" s="59">
        <f t="shared" ref="V150:V154" si="2630">H150/$H$9*298699*0.12+N150/$N$9*298699*0.15+P150/$P$9*298699*0.035+U150/$U$9*298699*0.025</f>
        <v>1589.72516821261</v>
      </c>
      <c r="W150" s="59">
        <v>11842.049999999999</v>
      </c>
      <c r="X150" s="62">
        <f t="shared" ref="X150:X154" si="2631">($W$64-W150)/($W$64-$W$44)</f>
        <v>0.61585891283229699</v>
      </c>
      <c r="Y150" s="62">
        <f t="shared" ref="Y150:Y154" si="2632">(G150+N150)*X150/10000</f>
        <v>6.47557171075775</v>
      </c>
      <c r="Z150" s="62">
        <f t="shared" ref="Z150:Z154" si="2633">Y150*0.5</f>
        <v>3.2377858553788799</v>
      </c>
      <c r="AA150" s="59">
        <f t="shared" ref="AA150:AA154" si="2634">Z150/$Z$9*298699*0.12</f>
        <v>256.50045503664199</v>
      </c>
      <c r="AB150" s="59">
        <v>4215.2299999999996</v>
      </c>
      <c r="AC150" s="59">
        <f t="shared" ref="AC150:AC154" si="2635">(AB150/$AB$9*298699*0.03)</f>
        <v>53.180681843325402</v>
      </c>
      <c r="AD150" s="59"/>
      <c r="AE150" s="59"/>
      <c r="AF150" s="59">
        <v>22</v>
      </c>
      <c r="AG150" s="59">
        <f t="shared" si="2621"/>
        <v>22</v>
      </c>
      <c r="AH150" s="59">
        <f t="shared" ref="AH150:AH154" si="2636">AG150/$AG$9*298699*0.02</f>
        <v>37.089758713136703</v>
      </c>
      <c r="AI150" s="59">
        <v>0.47147776613265502</v>
      </c>
      <c r="AJ150" s="59">
        <f t="shared" si="2622"/>
        <v>0.47147776613265502</v>
      </c>
      <c r="AK150" s="59">
        <f t="shared" ref="AK150:AK154" si="2637">AJ150/$AJ$9*298699*0.02</f>
        <v>32.172182548503599</v>
      </c>
      <c r="AL150" s="338"/>
      <c r="AM150" s="59"/>
      <c r="AN150" s="59"/>
      <c r="AO150" s="62"/>
      <c r="AP150" s="62"/>
      <c r="AQ150" s="59"/>
      <c r="AR150" s="59"/>
      <c r="AS150" s="59"/>
      <c r="AT150" s="189">
        <f>VLOOKUP(B:B,综合进度!B:N,13,0)</f>
        <v>7.3870839743187099e-003</v>
      </c>
      <c r="AU150" s="59">
        <f t="shared" ref="AU150:AU154" si="2638">AT150/$AT$9*298699*0.02</f>
        <v>44.130291920900397</v>
      </c>
      <c r="AV150" s="59"/>
      <c r="AW150" s="59"/>
      <c r="AX150" s="59">
        <f t="shared" ref="AX150:AX154" si="2639">ROUND(V150+AA150+AC150+AN150+AQ150+AS150+AU150+AW150+AH150+AK150,0)</f>
        <v>2013</v>
      </c>
      <c r="AY150" s="59">
        <v>2349</v>
      </c>
      <c r="AZ150" s="59">
        <f t="shared" ref="AZ150:AZ154" si="2640">AY150/$AY$9*280243</f>
        <v>2198.5311983381398</v>
      </c>
      <c r="BA150" s="59">
        <f t="shared" ref="BA150:BA154" si="2641">AX150-AZ150</f>
        <v>-185.53119833813699</v>
      </c>
      <c r="BB150" s="43">
        <f t="shared" si="2490"/>
        <v>-8.4388703912129895e-002</v>
      </c>
      <c r="BC150" s="50">
        <v>1775</v>
      </c>
      <c r="BD150" s="50">
        <f t="shared" ref="BD150:BD154" si="2642">BC150+BA150</f>
        <v>1589.46880166186</v>
      </c>
      <c r="BG150" s="340"/>
    </row>
    <row r="151" ht="17" customHeight="1">
      <c r="A151" s="46">
        <v>101</v>
      </c>
      <c r="B151" s="82" t="s">
        <v>193</v>
      </c>
      <c r="C151" s="46" t="s">
        <v>90</v>
      </c>
      <c r="D151" s="46">
        <v>2019</v>
      </c>
      <c r="E151" s="46" t="s">
        <v>91</v>
      </c>
      <c r="F151" s="46"/>
      <c r="G151" s="73">
        <v>81855</v>
      </c>
      <c r="H151" s="59">
        <f t="shared" si="2615"/>
        <v>73669.5</v>
      </c>
      <c r="I151" s="59">
        <f t="shared" si="2616"/>
        <v>0</v>
      </c>
      <c r="J151" s="59">
        <f t="shared" si="2617"/>
        <v>0</v>
      </c>
      <c r="K151" s="59">
        <f t="shared" si="2618"/>
        <v>0</v>
      </c>
      <c r="L151" s="59">
        <f t="shared" si="2619"/>
        <v>73669.5</v>
      </c>
      <c r="M151" s="59">
        <f t="shared" si="2620"/>
        <v>0</v>
      </c>
      <c r="N151" s="59">
        <v>10064</v>
      </c>
      <c r="O151" s="59">
        <v>21939</v>
      </c>
      <c r="P151" s="59">
        <f t="shared" si="2629"/>
        <v>6669.3999999999996</v>
      </c>
      <c r="Q151" s="59">
        <v>5841</v>
      </c>
      <c r="R151" s="59">
        <v>3956</v>
      </c>
      <c r="S151" s="59"/>
      <c r="T151" s="59"/>
      <c r="U151" s="59">
        <v>1730</v>
      </c>
      <c r="V151" s="59">
        <f t="shared" si="2630"/>
        <v>1206.0175191742201</v>
      </c>
      <c r="W151" s="59">
        <v>11840.129999999999</v>
      </c>
      <c r="X151" s="62">
        <f t="shared" si="2631"/>
        <v>0.61616873916818105</v>
      </c>
      <c r="Y151" s="62">
        <f t="shared" si="2632"/>
        <v>5.6637614335600004</v>
      </c>
      <c r="Z151" s="62">
        <f>Y151*1</f>
        <v>5.6637614335600004</v>
      </c>
      <c r="AA151" s="59">
        <f t="shared" si="2634"/>
        <v>448.68853278658997</v>
      </c>
      <c r="AB151" s="59">
        <v>16451.290000000001</v>
      </c>
      <c r="AC151" s="59">
        <f t="shared" si="2635"/>
        <v>207.55470505815299</v>
      </c>
      <c r="AD151" s="59"/>
      <c r="AE151" s="59"/>
      <c r="AF151" s="59">
        <v>34</v>
      </c>
      <c r="AG151" s="59">
        <f t="shared" si="2621"/>
        <v>34</v>
      </c>
      <c r="AH151" s="59">
        <f t="shared" si="2636"/>
        <v>57.320536193029497</v>
      </c>
      <c r="AI151" s="59">
        <v>0.63954967261764595</v>
      </c>
      <c r="AJ151" s="59">
        <f t="shared" si="2622"/>
        <v>0.63954967261764595</v>
      </c>
      <c r="AK151" s="59">
        <f t="shared" si="2637"/>
        <v>43.640888912037198</v>
      </c>
      <c r="AL151" s="338"/>
      <c r="AM151" s="59"/>
      <c r="AN151" s="59">
        <v>2000</v>
      </c>
      <c r="AO151" s="62"/>
      <c r="AP151" s="62"/>
      <c r="AQ151" s="59"/>
      <c r="AR151" s="59"/>
      <c r="AS151" s="59"/>
      <c r="AT151" s="189">
        <f>VLOOKUP(B:B,综合进度!B:N,13,0)</f>
        <v>9.3566245749317906e-003</v>
      </c>
      <c r="AU151" s="59">
        <f t="shared" si="2638"/>
        <v>55.896288078151002</v>
      </c>
      <c r="AV151" s="59"/>
      <c r="AW151" s="59"/>
      <c r="AX151" s="59">
        <f t="shared" si="2639"/>
        <v>4019</v>
      </c>
      <c r="AY151" s="59">
        <v>2265</v>
      </c>
      <c r="AZ151" s="59">
        <f t="shared" si="2640"/>
        <v>2119.9119473119999</v>
      </c>
      <c r="BA151" s="59">
        <f t="shared" si="2641"/>
        <v>1899.0880526880001</v>
      </c>
      <c r="BB151" s="43">
        <f t="shared" si="2490"/>
        <v>0.89583345907173495</v>
      </c>
      <c r="BC151" s="50">
        <v>-1689</v>
      </c>
      <c r="BD151" s="50">
        <f t="shared" si="2642"/>
        <v>210.08805268800299</v>
      </c>
      <c r="BG151" s="340"/>
    </row>
    <row r="152" ht="17" customHeight="1">
      <c r="A152" s="46">
        <v>102</v>
      </c>
      <c r="B152" s="82" t="s">
        <v>194</v>
      </c>
      <c r="C152" s="46" t="s">
        <v>78</v>
      </c>
      <c r="D152" s="46"/>
      <c r="E152" s="46"/>
      <c r="F152" s="46" t="s">
        <v>146</v>
      </c>
      <c r="G152" s="73">
        <v>46649</v>
      </c>
      <c r="H152" s="59">
        <f t="shared" si="2615"/>
        <v>27989.400000000001</v>
      </c>
      <c r="I152" s="59">
        <f t="shared" si="2616"/>
        <v>27989.400000000001</v>
      </c>
      <c r="J152" s="59">
        <f t="shared" si="2617"/>
        <v>0</v>
      </c>
      <c r="K152" s="59">
        <f t="shared" si="2618"/>
        <v>0</v>
      </c>
      <c r="L152" s="59">
        <f t="shared" si="2619"/>
        <v>0</v>
      </c>
      <c r="M152" s="59">
        <f t="shared" si="2620"/>
        <v>0</v>
      </c>
      <c r="N152" s="59">
        <v>10751</v>
      </c>
      <c r="O152" s="59">
        <v>4204</v>
      </c>
      <c r="P152" s="59">
        <f t="shared" si="2629"/>
        <v>0</v>
      </c>
      <c r="Q152" s="59"/>
      <c r="R152" s="59"/>
      <c r="S152" s="59"/>
      <c r="T152" s="59"/>
      <c r="U152" s="59">
        <v>1680</v>
      </c>
      <c r="V152" s="59">
        <f t="shared" si="2630"/>
        <v>797.66768076069002</v>
      </c>
      <c r="W152" s="59">
        <v>13402.24</v>
      </c>
      <c r="X152" s="62">
        <f t="shared" si="2631"/>
        <v>0.36409435502870802</v>
      </c>
      <c r="Y152" s="62">
        <f t="shared" si="2632"/>
        <v>2.0899015978647801</v>
      </c>
      <c r="Z152" s="62">
        <f>Y152*0.2</f>
        <v>0.41798031957295601</v>
      </c>
      <c r="AA152" s="59">
        <f t="shared" si="2634"/>
        <v>33.1127958906592</v>
      </c>
      <c r="AB152" s="59">
        <v>2678.9000000000001</v>
      </c>
      <c r="AC152" s="59">
        <f t="shared" si="2635"/>
        <v>33.797854112369698</v>
      </c>
      <c r="AD152" s="59"/>
      <c r="AE152" s="59"/>
      <c r="AF152" s="59">
        <v>39</v>
      </c>
      <c r="AG152" s="59">
        <f>AF152*0.5</f>
        <v>19.5</v>
      </c>
      <c r="AH152" s="59">
        <f t="shared" si="2636"/>
        <v>32.875013404825701</v>
      </c>
      <c r="AI152" s="59">
        <v>0.531026547217884</v>
      </c>
      <c r="AJ152" s="59">
        <f>AI152*0.5</f>
        <v>0.265513273608942</v>
      </c>
      <c r="AK152" s="59">
        <f t="shared" si="2637"/>
        <v>18.117803470703301</v>
      </c>
      <c r="AL152" s="338"/>
      <c r="AM152" s="59"/>
      <c r="AN152" s="59"/>
      <c r="AO152" s="62"/>
      <c r="AP152" s="62"/>
      <c r="AQ152" s="59"/>
      <c r="AR152" s="59"/>
      <c r="AS152" s="59"/>
      <c r="AT152" s="189">
        <f>VLOOKUP(B:B,综合进度!B:N,13,0)</f>
        <v>5.01327178611878e-003</v>
      </c>
      <c r="AU152" s="59">
        <f t="shared" si="2638"/>
        <v>29.9491853848379</v>
      </c>
      <c r="AV152" s="59"/>
      <c r="AW152" s="59"/>
      <c r="AX152" s="59">
        <f t="shared" si="2639"/>
        <v>946</v>
      </c>
      <c r="AY152" s="59">
        <v>684</v>
      </c>
      <c r="AZ152" s="59">
        <f t="shared" si="2640"/>
        <v>640.18532978428505</v>
      </c>
      <c r="BA152" s="59">
        <f t="shared" si="2641"/>
        <v>305.81467021571501</v>
      </c>
      <c r="BB152" s="43">
        <f t="shared" si="2490"/>
        <v>0.47769709174491898</v>
      </c>
      <c r="BC152" s="50">
        <v>-128</v>
      </c>
      <c r="BD152" s="50">
        <f t="shared" si="2642"/>
        <v>177.81467021571501</v>
      </c>
      <c r="BG152" s="340"/>
    </row>
    <row r="153" ht="17" customHeight="1">
      <c r="A153" s="46">
        <v>103</v>
      </c>
      <c r="B153" s="82" t="s">
        <v>196</v>
      </c>
      <c r="C153" s="46" t="s">
        <v>90</v>
      </c>
      <c r="D153" s="46">
        <v>2018</v>
      </c>
      <c r="E153" s="46"/>
      <c r="F153" s="46"/>
      <c r="G153" s="73">
        <v>80286</v>
      </c>
      <c r="H153" s="59">
        <f t="shared" si="2615"/>
        <v>64228.800000000003</v>
      </c>
      <c r="I153" s="59">
        <f t="shared" si="2616"/>
        <v>0</v>
      </c>
      <c r="J153" s="59">
        <f t="shared" si="2617"/>
        <v>0</v>
      </c>
      <c r="K153" s="59">
        <f t="shared" si="2618"/>
        <v>64228.800000000003</v>
      </c>
      <c r="L153" s="59">
        <f t="shared" si="2619"/>
        <v>0</v>
      </c>
      <c r="M153" s="59">
        <f t="shared" si="2620"/>
        <v>0</v>
      </c>
      <c r="N153" s="59">
        <v>9732</v>
      </c>
      <c r="O153" s="59">
        <v>13532</v>
      </c>
      <c r="P153" s="59">
        <f t="shared" si="2629"/>
        <v>0</v>
      </c>
      <c r="Q153" s="59"/>
      <c r="R153" s="59"/>
      <c r="S153" s="59"/>
      <c r="T153" s="59"/>
      <c r="U153" s="59">
        <v>2678</v>
      </c>
      <c r="V153" s="59">
        <f t="shared" si="2630"/>
        <v>1024.53415135821</v>
      </c>
      <c r="W153" s="59">
        <v>12528.940000000001</v>
      </c>
      <c r="X153" s="62">
        <f t="shared" si="2631"/>
        <v>0.50501692749095495</v>
      </c>
      <c r="Y153" s="62">
        <f t="shared" si="2632"/>
        <v>4.5460613778880798</v>
      </c>
      <c r="Z153" s="62">
        <f t="shared" si="2633"/>
        <v>2.2730306889440399</v>
      </c>
      <c r="AA153" s="59">
        <f t="shared" si="2634"/>
        <v>180.07163909800099</v>
      </c>
      <c r="AB153" s="59">
        <v>7722.8000000000002</v>
      </c>
      <c r="AC153" s="59">
        <f t="shared" si="2635"/>
        <v>97.4333001377465</v>
      </c>
      <c r="AD153" s="59"/>
      <c r="AE153" s="59"/>
      <c r="AF153" s="59">
        <v>27</v>
      </c>
      <c r="AG153" s="59">
        <f t="shared" ref="AG153:AG156" si="2643">AF153</f>
        <v>27</v>
      </c>
      <c r="AH153" s="59">
        <f t="shared" si="2636"/>
        <v>45.519249329758701</v>
      </c>
      <c r="AI153" s="59">
        <v>0.38227159799371901</v>
      </c>
      <c r="AJ153" s="59">
        <f t="shared" ref="AJ153:AJ156" si="2644">AI153</f>
        <v>0.38227159799371901</v>
      </c>
      <c r="AK153" s="59">
        <f t="shared" si="2637"/>
        <v>26.085029914861</v>
      </c>
      <c r="AL153" s="338"/>
      <c r="AM153" s="59"/>
      <c r="AN153" s="59"/>
      <c r="AO153" s="62"/>
      <c r="AP153" s="62"/>
      <c r="AQ153" s="59"/>
      <c r="AR153" s="59"/>
      <c r="AS153" s="59"/>
      <c r="AT153" s="189">
        <f>VLOOKUP(B:B,综合进度!B:N,13,0)</f>
        <v>5.3462067211037098e-003</v>
      </c>
      <c r="AU153" s="59">
        <f t="shared" si="2638"/>
        <v>31.938132027739101</v>
      </c>
      <c r="AV153" s="59"/>
      <c r="AW153" s="59"/>
      <c r="AX153" s="59">
        <f t="shared" si="2639"/>
        <v>1406</v>
      </c>
      <c r="AY153" s="59">
        <v>1574</v>
      </c>
      <c r="AZ153" s="59">
        <f t="shared" si="2640"/>
        <v>1473.1750132755301</v>
      </c>
      <c r="BA153" s="59">
        <f t="shared" si="2641"/>
        <v>-67.175013275533303</v>
      </c>
      <c r="BB153" s="43">
        <f t="shared" si="2490"/>
        <v>-4.5598800325952399e-002</v>
      </c>
      <c r="BC153" s="50">
        <v>1397</v>
      </c>
      <c r="BD153" s="50">
        <f t="shared" si="2642"/>
        <v>1329.8249867244699</v>
      </c>
      <c r="BG153" s="340"/>
    </row>
    <row r="154" s="5" customFormat="1" ht="17" customHeight="1">
      <c r="A154" s="46">
        <v>104</v>
      </c>
      <c r="B154" s="82" t="s">
        <v>195</v>
      </c>
      <c r="C154" s="46" t="s">
        <v>90</v>
      </c>
      <c r="D154" s="46">
        <v>2018</v>
      </c>
      <c r="E154" s="46"/>
      <c r="F154" s="46" t="s">
        <v>146</v>
      </c>
      <c r="G154" s="73">
        <v>55995</v>
      </c>
      <c r="H154" s="59">
        <f t="shared" si="2615"/>
        <v>44796</v>
      </c>
      <c r="I154" s="59">
        <f t="shared" si="2616"/>
        <v>0</v>
      </c>
      <c r="J154" s="59">
        <f t="shared" si="2617"/>
        <v>0</v>
      </c>
      <c r="K154" s="59">
        <f t="shared" si="2618"/>
        <v>44796</v>
      </c>
      <c r="L154" s="59">
        <f t="shared" si="2619"/>
        <v>0</v>
      </c>
      <c r="M154" s="59">
        <f t="shared" si="2620"/>
        <v>0</v>
      </c>
      <c r="N154" s="59">
        <v>9870</v>
      </c>
      <c r="O154" s="59">
        <v>13630</v>
      </c>
      <c r="P154" s="59">
        <f t="shared" si="2629"/>
        <v>482.39999999999998</v>
      </c>
      <c r="Q154" s="59">
        <v>804</v>
      </c>
      <c r="R154" s="59"/>
      <c r="S154" s="59"/>
      <c r="T154" s="59"/>
      <c r="U154" s="59">
        <v>1706</v>
      </c>
      <c r="V154" s="59">
        <f t="shared" si="2630"/>
        <v>871.47465817444697</v>
      </c>
      <c r="W154" s="59">
        <v>12496.370000000001</v>
      </c>
      <c r="X154" s="62">
        <f t="shared" si="2631"/>
        <v>0.510272679449155</v>
      </c>
      <c r="Y154" s="62">
        <f t="shared" si="2632"/>
        <v>3.3609110031918599</v>
      </c>
      <c r="Z154" s="62">
        <f t="shared" si="2633"/>
        <v>1.6804555015959299</v>
      </c>
      <c r="AA154" s="59">
        <f t="shared" si="2634"/>
        <v>133.127272797275</v>
      </c>
      <c r="AB154" s="59">
        <v>5373.8999999999996</v>
      </c>
      <c r="AC154" s="59">
        <f t="shared" si="2635"/>
        <v>67.798830943470705</v>
      </c>
      <c r="AD154" s="59"/>
      <c r="AE154" s="59"/>
      <c r="AF154" s="59">
        <v>27</v>
      </c>
      <c r="AG154" s="59">
        <f t="shared" si="2643"/>
        <v>27</v>
      </c>
      <c r="AH154" s="59">
        <f t="shared" si="2636"/>
        <v>45.519249329758701</v>
      </c>
      <c r="AI154" s="59">
        <v>0.270096463022508</v>
      </c>
      <c r="AJ154" s="59">
        <f t="shared" si="2644"/>
        <v>0.270096463022508</v>
      </c>
      <c r="AK154" s="59">
        <f t="shared" si="2637"/>
        <v>18.4305461217028</v>
      </c>
      <c r="AL154" s="338"/>
      <c r="AM154" s="59"/>
      <c r="AN154" s="59"/>
      <c r="AO154" s="62"/>
      <c r="AP154" s="62"/>
      <c r="AQ154" s="59"/>
      <c r="AR154" s="59"/>
      <c r="AS154" s="59"/>
      <c r="AT154" s="189">
        <f>VLOOKUP(B:B,综合进度!B:N,13,0)</f>
        <v>5.9925442356187301e-003</v>
      </c>
      <c r="AU154" s="59">
        <f t="shared" si="2638"/>
        <v>35.799339412701499</v>
      </c>
      <c r="AV154" s="59"/>
      <c r="AW154" s="59"/>
      <c r="AX154" s="59">
        <f t="shared" si="2639"/>
        <v>1172</v>
      </c>
      <c r="AY154" s="59">
        <v>1509</v>
      </c>
      <c r="AZ154" s="59">
        <f t="shared" si="2640"/>
        <v>1412.33868807673</v>
      </c>
      <c r="BA154" s="59">
        <f t="shared" si="2641"/>
        <v>-240.338688076734</v>
      </c>
      <c r="BB154" s="43">
        <f t="shared" si="2490"/>
        <v>-0.17017071762299299</v>
      </c>
      <c r="BC154" s="50">
        <v>-46</v>
      </c>
      <c r="BD154" s="50">
        <f t="shared" si="2642"/>
        <v>-286.338688076734</v>
      </c>
      <c r="BG154" s="340"/>
    </row>
    <row r="155" s="5" customFormat="1" ht="17" customHeight="1">
      <c r="A155" s="65"/>
      <c r="B155" s="66" t="s">
        <v>197</v>
      </c>
      <c r="C155" s="67">
        <v>1</v>
      </c>
      <c r="D155" s="67"/>
      <c r="E155" s="67"/>
      <c r="F155" s="68"/>
      <c r="G155" s="69">
        <f t="shared" ref="G155:P155" si="2645">G156+G157</f>
        <v>129655</v>
      </c>
      <c r="H155" s="69">
        <f t="shared" si="2645"/>
        <v>101819.8</v>
      </c>
      <c r="I155" s="69">
        <f t="shared" si="2645"/>
        <v>8140.8000000000002</v>
      </c>
      <c r="J155" s="69">
        <f t="shared" si="2645"/>
        <v>14385</v>
      </c>
      <c r="K155" s="69">
        <f t="shared" si="2645"/>
        <v>53514.400000000001</v>
      </c>
      <c r="L155" s="69">
        <f t="shared" si="2645"/>
        <v>25779.599999999999</v>
      </c>
      <c r="M155" s="69">
        <f t="shared" si="2645"/>
        <v>0</v>
      </c>
      <c r="N155" s="69">
        <f t="shared" si="2645"/>
        <v>32214</v>
      </c>
      <c r="O155" s="69">
        <f t="shared" si="2645"/>
        <v>17938</v>
      </c>
      <c r="P155" s="69">
        <f t="shared" si="2645"/>
        <v>0</v>
      </c>
      <c r="Q155" s="59">
        <v>0</v>
      </c>
      <c r="R155" s="69">
        <f t="shared" ref="R155:V155" si="2646">R156+R157</f>
        <v>0</v>
      </c>
      <c r="S155" s="69">
        <f t="shared" si="2646"/>
        <v>0</v>
      </c>
      <c r="T155" s="69">
        <f t="shared" si="2646"/>
        <v>0</v>
      </c>
      <c r="U155" s="69">
        <f t="shared" si="2646"/>
        <v>3328</v>
      </c>
      <c r="V155" s="69">
        <f t="shared" si="2646"/>
        <v>2416.3049848731198</v>
      </c>
      <c r="W155" s="69"/>
      <c r="X155" s="69">
        <f t="shared" ref="X155:AC155" si="2647">X156+X157</f>
        <v>2.98620788701666</v>
      </c>
      <c r="Y155" s="69">
        <f t="shared" si="2647"/>
        <v>10.1321578500634</v>
      </c>
      <c r="Z155" s="69">
        <f t="shared" si="2647"/>
        <v>8.8334997587872905</v>
      </c>
      <c r="AA155" s="69">
        <f t="shared" si="2647"/>
        <v>699.79819818252497</v>
      </c>
      <c r="AB155" s="69">
        <f t="shared" si="2647"/>
        <v>9089.7428</v>
      </c>
      <c r="AC155" s="69">
        <f t="shared" si="2647"/>
        <v>114.679085099617</v>
      </c>
      <c r="AD155" s="69"/>
      <c r="AE155" s="69"/>
      <c r="AF155" s="69">
        <f t="shared" ref="AF155:AK155" si="2648">AF156+AF157</f>
        <v>62</v>
      </c>
      <c r="AG155" s="59">
        <f t="shared" si="2648"/>
        <v>55</v>
      </c>
      <c r="AH155" s="59">
        <f t="shared" si="2648"/>
        <v>92.724396782841794</v>
      </c>
      <c r="AI155" s="69">
        <f t="shared" si="2648"/>
        <v>2.9473018196108698</v>
      </c>
      <c r="AJ155" s="59">
        <f t="shared" si="2648"/>
        <v>2.8098669059358898</v>
      </c>
      <c r="AK155" s="59">
        <f t="shared" si="2648"/>
        <v>191.73661523061901</v>
      </c>
      <c r="AL155" s="69"/>
      <c r="AM155" s="69"/>
      <c r="AN155" s="69">
        <f t="shared" ref="AN155:AU155" si="2649">AN156+AN157</f>
        <v>6000</v>
      </c>
      <c r="AO155" s="69"/>
      <c r="AP155" s="69"/>
      <c r="AQ155" s="69">
        <f t="shared" si="2649"/>
        <v>0</v>
      </c>
      <c r="AR155" s="69"/>
      <c r="AS155" s="69">
        <f t="shared" si="2649"/>
        <v>0</v>
      </c>
      <c r="AT155" s="403">
        <f t="shared" si="2649"/>
        <v>3.0747729705685699e-002</v>
      </c>
      <c r="AU155" s="69">
        <f t="shared" si="2649"/>
        <v>183.68632230717199</v>
      </c>
      <c r="AV155" s="69"/>
      <c r="AW155" s="71"/>
      <c r="AX155" s="69">
        <f t="shared" ref="AX155:BA155" si="2650">AX156+AX157</f>
        <v>9699</v>
      </c>
      <c r="AY155" s="69">
        <v>11478</v>
      </c>
      <c r="AZ155" s="69">
        <f t="shared" si="2650"/>
        <v>10742.7590866433</v>
      </c>
      <c r="BA155" s="69">
        <f t="shared" si="2650"/>
        <v>-1043.75908664331</v>
      </c>
      <c r="BB155" s="336">
        <f t="shared" si="2490"/>
        <v>-9.7159312447119603e-002</v>
      </c>
      <c r="BC155" s="404">
        <v>-21061</v>
      </c>
      <c r="BD155" s="69">
        <f>BD156+BD157</f>
        <v>-22123.759086643298</v>
      </c>
      <c r="BG155" s="340"/>
    </row>
    <row r="156" s="5" customFormat="1" ht="17" customHeight="1">
      <c r="A156" s="44"/>
      <c r="B156" s="72" t="s">
        <v>198</v>
      </c>
      <c r="C156" s="46">
        <v>2</v>
      </c>
      <c r="D156" s="46"/>
      <c r="E156" s="46"/>
      <c r="F156" s="46"/>
      <c r="G156" s="73"/>
      <c r="H156" s="59">
        <f t="shared" ref="H156:H162" si="2651">SUM(I156:M156)</f>
        <v>0</v>
      </c>
      <c r="I156" s="59">
        <f t="shared" ref="I156:I162" si="2652">IF(D156="",G156*0.6,0)</f>
        <v>0</v>
      </c>
      <c r="J156" s="59">
        <f t="shared" ref="J156:J162" si="2653">IF(D156=2017,G156*0.7,0)</f>
        <v>0</v>
      </c>
      <c r="K156" s="59">
        <f t="shared" ref="K156:K162" si="2654">IF(D156=2018,G156*0.8,0)</f>
        <v>0</v>
      </c>
      <c r="L156" s="59">
        <f t="shared" ref="L156:L162" si="2655">IF(D156=2019,G156*0.9,0)</f>
        <v>0</v>
      </c>
      <c r="M156" s="59">
        <f t="shared" ref="M156:M162" si="2656">IF(D156=2020,G156*1,0)</f>
        <v>0</v>
      </c>
      <c r="N156" s="59"/>
      <c r="O156" s="59"/>
      <c r="P156" s="59">
        <f>L156*0.4+M156*0.6+N156*0.8+O156*1</f>
        <v>0</v>
      </c>
      <c r="Q156" s="59"/>
      <c r="R156" s="59"/>
      <c r="S156" s="59"/>
      <c r="T156" s="59"/>
      <c r="U156" s="59"/>
      <c r="V156" s="59">
        <f>H156/$H$9*134866+N156/$N$9*202299+P156/$P$9*100000+U156/$U$9*34867</f>
        <v>0</v>
      </c>
      <c r="W156" s="59"/>
      <c r="X156" s="62"/>
      <c r="Y156" s="62"/>
      <c r="Z156" s="62"/>
      <c r="AA156" s="59"/>
      <c r="AB156" s="59"/>
      <c r="AC156" s="59"/>
      <c r="AD156" s="59"/>
      <c r="AE156" s="59"/>
      <c r="AF156" s="59"/>
      <c r="AG156" s="59">
        <f t="shared" si="2643"/>
        <v>0</v>
      </c>
      <c r="AH156" s="59">
        <f>AG156/$AG$9*40459.89</f>
        <v>0</v>
      </c>
      <c r="AI156" s="59"/>
      <c r="AJ156" s="59">
        <f t="shared" si="2644"/>
        <v>0</v>
      </c>
      <c r="AK156" s="59">
        <f>AJ156/$AJ$9*40459.89</f>
        <v>0</v>
      </c>
      <c r="AL156" s="59"/>
      <c r="AM156" s="59"/>
      <c r="AN156" s="59"/>
      <c r="AO156" s="62"/>
      <c r="AP156" s="62"/>
      <c r="AQ156" s="59"/>
      <c r="AR156" s="59"/>
      <c r="AS156" s="59"/>
      <c r="AT156" s="189"/>
      <c r="AU156" s="59"/>
      <c r="AV156" s="59"/>
      <c r="AW156" s="59"/>
      <c r="AX156" s="59">
        <f>V156+AA156+AC156+AE156+AH156+AK156+AM156+AN156+AQ156+AS156+AU156+AW156</f>
        <v>0</v>
      </c>
      <c r="AY156" s="59"/>
      <c r="AZ156" s="170"/>
      <c r="BA156" s="50"/>
      <c r="BB156" s="43"/>
      <c r="BC156" s="50">
        <v>19</v>
      </c>
      <c r="BD156" s="50"/>
      <c r="BG156" s="340"/>
    </row>
    <row r="157" s="5" customFormat="1" ht="17" customHeight="1">
      <c r="A157" s="75"/>
      <c r="B157" s="76" t="s">
        <v>76</v>
      </c>
      <c r="C157" s="77">
        <v>3</v>
      </c>
      <c r="D157" s="77"/>
      <c r="E157" s="77"/>
      <c r="F157" s="78"/>
      <c r="G157" s="79">
        <f t="shared" ref="G157:P157" si="2657">SUM(G158:G162)</f>
        <v>129655</v>
      </c>
      <c r="H157" s="79">
        <f t="shared" si="2657"/>
        <v>101819.8</v>
      </c>
      <c r="I157" s="79">
        <f t="shared" si="2657"/>
        <v>8140.8000000000002</v>
      </c>
      <c r="J157" s="79">
        <f t="shared" si="2657"/>
        <v>14385</v>
      </c>
      <c r="K157" s="79">
        <f t="shared" si="2657"/>
        <v>53514.400000000001</v>
      </c>
      <c r="L157" s="79">
        <f t="shared" si="2657"/>
        <v>25779.599999999999</v>
      </c>
      <c r="M157" s="79">
        <f t="shared" si="2657"/>
        <v>0</v>
      </c>
      <c r="N157" s="79">
        <f t="shared" si="2657"/>
        <v>32214</v>
      </c>
      <c r="O157" s="79">
        <f t="shared" si="2657"/>
        <v>17938</v>
      </c>
      <c r="P157" s="79">
        <f t="shared" si="2657"/>
        <v>0</v>
      </c>
      <c r="Q157" s="59">
        <v>0</v>
      </c>
      <c r="R157" s="79">
        <f t="shared" ref="R157:V157" si="2658">SUM(R158:R162)</f>
        <v>0</v>
      </c>
      <c r="S157" s="79">
        <f t="shared" si="2658"/>
        <v>0</v>
      </c>
      <c r="T157" s="79">
        <f t="shared" si="2658"/>
        <v>0</v>
      </c>
      <c r="U157" s="79">
        <f t="shared" si="2658"/>
        <v>3328</v>
      </c>
      <c r="V157" s="79">
        <f t="shared" si="2658"/>
        <v>2416.3049848731198</v>
      </c>
      <c r="W157" s="79"/>
      <c r="X157" s="79">
        <f t="shared" ref="X157:AC157" si="2659">SUM(X158:X162)</f>
        <v>2.98620788701666</v>
      </c>
      <c r="Y157" s="79">
        <f t="shared" si="2659"/>
        <v>10.1321578500634</v>
      </c>
      <c r="Z157" s="79">
        <f t="shared" si="2659"/>
        <v>8.8334997587872905</v>
      </c>
      <c r="AA157" s="79">
        <f t="shared" si="2659"/>
        <v>699.79819818252497</v>
      </c>
      <c r="AB157" s="79">
        <f t="shared" si="2659"/>
        <v>9089.7428</v>
      </c>
      <c r="AC157" s="79">
        <f t="shared" si="2659"/>
        <v>114.679085099617</v>
      </c>
      <c r="AD157" s="79"/>
      <c r="AE157" s="79"/>
      <c r="AF157" s="79">
        <f t="shared" ref="AF157:AK157" si="2660">SUM(AF158:AF162)</f>
        <v>62</v>
      </c>
      <c r="AG157" s="59">
        <f t="shared" si="2660"/>
        <v>55</v>
      </c>
      <c r="AH157" s="59">
        <f t="shared" si="2660"/>
        <v>92.724396782841794</v>
      </c>
      <c r="AI157" s="79">
        <f t="shared" si="2660"/>
        <v>2.9473018196108698</v>
      </c>
      <c r="AJ157" s="59">
        <f t="shared" si="2660"/>
        <v>2.8098669059358898</v>
      </c>
      <c r="AK157" s="59">
        <f t="shared" si="2660"/>
        <v>191.73661523061901</v>
      </c>
      <c r="AL157" s="79"/>
      <c r="AM157" s="79"/>
      <c r="AN157" s="79">
        <f t="shared" ref="AN157:AU157" si="2661">SUM(AN158:AN162)</f>
        <v>6000</v>
      </c>
      <c r="AO157" s="79"/>
      <c r="AP157" s="79"/>
      <c r="AQ157" s="79">
        <f t="shared" si="2661"/>
        <v>0</v>
      </c>
      <c r="AR157" s="79"/>
      <c r="AS157" s="79">
        <f t="shared" si="2661"/>
        <v>0</v>
      </c>
      <c r="AT157" s="405">
        <f t="shared" si="2661"/>
        <v>3.0747729705685699e-002</v>
      </c>
      <c r="AU157" s="79">
        <f t="shared" si="2661"/>
        <v>183.68632230717199</v>
      </c>
      <c r="AV157" s="79"/>
      <c r="AW157" s="81"/>
      <c r="AX157" s="79">
        <f t="shared" ref="AX157:BA157" si="2662">SUM(AX158:AX162)</f>
        <v>9699</v>
      </c>
      <c r="AY157" s="79">
        <v>11478</v>
      </c>
      <c r="AZ157" s="79">
        <f t="shared" si="2662"/>
        <v>10742.7590866433</v>
      </c>
      <c r="BA157" s="79">
        <f t="shared" si="2662"/>
        <v>-1043.75908664331</v>
      </c>
      <c r="BB157" s="337">
        <f t="shared" si="2490"/>
        <v>-9.7159312447119603e-002</v>
      </c>
      <c r="BC157" s="406">
        <v>-21080</v>
      </c>
      <c r="BD157" s="79">
        <f>SUM(BD158:BD162)</f>
        <v>-22123.759086643298</v>
      </c>
      <c r="BG157" s="340"/>
    </row>
    <row r="158" ht="17" customHeight="1">
      <c r="A158" s="46">
        <v>105</v>
      </c>
      <c r="B158" s="82" t="s">
        <v>200</v>
      </c>
      <c r="C158" s="46" t="s">
        <v>90</v>
      </c>
      <c r="D158" s="46">
        <v>2017</v>
      </c>
      <c r="E158" s="46"/>
      <c r="F158" s="46" t="s">
        <v>146</v>
      </c>
      <c r="G158" s="73">
        <v>20550</v>
      </c>
      <c r="H158" s="59">
        <f t="shared" si="2651"/>
        <v>14385</v>
      </c>
      <c r="I158" s="59">
        <f t="shared" si="2652"/>
        <v>0</v>
      </c>
      <c r="J158" s="59">
        <f t="shared" si="2653"/>
        <v>14385</v>
      </c>
      <c r="K158" s="59">
        <f t="shared" si="2654"/>
        <v>0</v>
      </c>
      <c r="L158" s="59">
        <f t="shared" si="2655"/>
        <v>0</v>
      </c>
      <c r="M158" s="59">
        <f t="shared" si="2656"/>
        <v>0</v>
      </c>
      <c r="N158" s="59">
        <v>4269</v>
      </c>
      <c r="O158" s="59">
        <v>4796</v>
      </c>
      <c r="P158" s="59">
        <f t="shared" ref="P158:P162" si="2663">Q158*0.6+R158*0.8+S158*1+T158*1.25</f>
        <v>0</v>
      </c>
      <c r="Q158" s="59"/>
      <c r="R158" s="59"/>
      <c r="S158" s="59"/>
      <c r="T158" s="59"/>
      <c r="U158" s="59">
        <v>1040</v>
      </c>
      <c r="V158" s="59">
        <f t="shared" ref="V158:V162" si="2664">H158/$H$9*298699*0.12+N158/$N$9*298699*0.15+P158/$P$9*298699*0.035+U158/$U$9*298699*0.025</f>
        <v>356.13038718291898</v>
      </c>
      <c r="W158" s="59">
        <v>12489.9</v>
      </c>
      <c r="X158" s="62">
        <f t="shared" ref="X158:X162" si="2665">($W$64-W158)/($W$64-$W$44)</f>
        <v>0.51131672965393105</v>
      </c>
      <c r="Y158" s="62">
        <f t="shared" ref="Y158:Y162" si="2666">(G158+N158)*X158/10000</f>
        <v>1.2690369913280899</v>
      </c>
      <c r="Z158" s="62">
        <f>Y158*0.5</f>
        <v>0.63451849566404495</v>
      </c>
      <c r="AA158" s="59">
        <f t="shared" ref="AA158:AA162" si="2667">Z158/$Z$9*298699*0.12</f>
        <v>50.267154820202798</v>
      </c>
      <c r="AB158" s="59">
        <v>635.79999999999995</v>
      </c>
      <c r="AC158" s="59">
        <f t="shared" ref="AC158:AC162" si="2668">(AB158/$AB$9*298699*0.03)</f>
        <v>8.0214549421944401</v>
      </c>
      <c r="AD158" s="59"/>
      <c r="AE158" s="59"/>
      <c r="AF158" s="59">
        <v>15</v>
      </c>
      <c r="AG158" s="59">
        <f t="shared" ref="AG158:AG161" si="2669">AF158</f>
        <v>15</v>
      </c>
      <c r="AH158" s="59">
        <f t="shared" ref="AH158:AH162" si="2670">AG158/$AG$9*298699*0.02</f>
        <v>25.2884718498659</v>
      </c>
      <c r="AI158" s="59">
        <v>0.73562284088599905</v>
      </c>
      <c r="AJ158" s="59">
        <f t="shared" ref="AJ158:AJ161" si="2671">AI158</f>
        <v>0.73562284088599905</v>
      </c>
      <c r="AK158" s="59">
        <f t="shared" ref="AK158:AK162" si="2672">AJ158/$AJ$9*298699*0.02</f>
        <v>50.196624366745603</v>
      </c>
      <c r="AL158" s="338"/>
      <c r="AM158" s="59"/>
      <c r="AN158" s="59"/>
      <c r="AO158" s="62"/>
      <c r="AP158" s="62"/>
      <c r="AQ158" s="59"/>
      <c r="AR158" s="59"/>
      <c r="AS158" s="59"/>
      <c r="AT158" s="189">
        <f>VLOOKUP(B:B,综合进度!B:N,13,0)</f>
        <v>4.1985181854656203e-003</v>
      </c>
      <c r="AU158" s="59">
        <f t="shared" ref="AU158:AU162" si="2673">AT158/$AT$9*298699*0.02</f>
        <v>25.081863669607898</v>
      </c>
      <c r="AV158" s="59"/>
      <c r="AW158" s="59"/>
      <c r="AX158" s="59">
        <f t="shared" ref="AX158:AX162" si="2674">ROUND(V158+AA158+AC158+AN158+AQ158+AS158+AU158+AW158+AH158+AK158,0)</f>
        <v>515</v>
      </c>
      <c r="AY158" s="59">
        <v>1357</v>
      </c>
      <c r="AZ158" s="59">
        <f t="shared" ref="AZ158:AZ162" si="2675">AY158/$AY$9*280243</f>
        <v>1270.0752814580001</v>
      </c>
      <c r="BA158" s="59">
        <f t="shared" ref="BA158:BA162" si="2676">AX158-AZ158</f>
        <v>-755.07528145800404</v>
      </c>
      <c r="BB158" s="43">
        <f t="shared" si="2490"/>
        <v>-0.59451222496921796</v>
      </c>
      <c r="BC158" s="50">
        <v>-1622</v>
      </c>
      <c r="BD158" s="50">
        <f t="shared" ref="BD158:BD162" si="2677">BC158+BA158</f>
        <v>-2377.0752814580001</v>
      </c>
      <c r="BG158" s="340"/>
    </row>
    <row r="159" ht="17" customHeight="1">
      <c r="A159" s="46">
        <v>106</v>
      </c>
      <c r="B159" s="82" t="s">
        <v>201</v>
      </c>
      <c r="C159" s="46" t="s">
        <v>90</v>
      </c>
      <c r="D159" s="46">
        <v>2019</v>
      </c>
      <c r="E159" s="46" t="s">
        <v>91</v>
      </c>
      <c r="F159" s="46"/>
      <c r="G159" s="73">
        <v>28644</v>
      </c>
      <c r="H159" s="59">
        <f t="shared" si="2651"/>
        <v>25779.599999999999</v>
      </c>
      <c r="I159" s="59">
        <f t="shared" si="2652"/>
        <v>0</v>
      </c>
      <c r="J159" s="59">
        <f t="shared" si="2653"/>
        <v>0</v>
      </c>
      <c r="K159" s="59">
        <f t="shared" si="2654"/>
        <v>0</v>
      </c>
      <c r="L159" s="59">
        <f t="shared" si="2655"/>
        <v>25779.599999999999</v>
      </c>
      <c r="M159" s="59">
        <f t="shared" si="2656"/>
        <v>0</v>
      </c>
      <c r="N159" s="59">
        <v>7865</v>
      </c>
      <c r="O159" s="59">
        <v>3702</v>
      </c>
      <c r="P159" s="59">
        <f t="shared" si="2663"/>
        <v>0</v>
      </c>
      <c r="Q159" s="59"/>
      <c r="R159" s="59"/>
      <c r="S159" s="59"/>
      <c r="T159" s="59"/>
      <c r="U159" s="59">
        <v>997</v>
      </c>
      <c r="V159" s="59">
        <f t="shared" si="2664"/>
        <v>605.04984238756299</v>
      </c>
      <c r="W159" s="59">
        <v>11483.950000000001</v>
      </c>
      <c r="X159" s="62">
        <f t="shared" si="2665"/>
        <v>0.67364475183233197</v>
      </c>
      <c r="Y159" s="62">
        <f t="shared" si="2666"/>
        <v>2.4594096244646599</v>
      </c>
      <c r="Z159" s="62">
        <f t="shared" ref="Z159:Z161" si="2678">Y159*1</f>
        <v>2.4594096244646599</v>
      </c>
      <c r="AA159" s="59">
        <f t="shared" si="2667"/>
        <v>194.83675449031901</v>
      </c>
      <c r="AB159" s="59">
        <v>2323.3000000000002</v>
      </c>
      <c r="AC159" s="59">
        <f t="shared" si="2668"/>
        <v>29.311491455175101</v>
      </c>
      <c r="AD159" s="59"/>
      <c r="AE159" s="59"/>
      <c r="AF159" s="59">
        <v>17</v>
      </c>
      <c r="AG159" s="59">
        <f t="shared" si="2669"/>
        <v>17</v>
      </c>
      <c r="AH159" s="59">
        <f t="shared" si="2670"/>
        <v>28.660268096514699</v>
      </c>
      <c r="AI159" s="59">
        <v>0.80865139949109399</v>
      </c>
      <c r="AJ159" s="59">
        <f t="shared" si="2671"/>
        <v>0.80865139949109399</v>
      </c>
      <c r="AK159" s="59">
        <f t="shared" si="2672"/>
        <v>55.179867029425402</v>
      </c>
      <c r="AL159" s="338"/>
      <c r="AM159" s="59"/>
      <c r="AN159" s="59">
        <v>2000</v>
      </c>
      <c r="AO159" s="62"/>
      <c r="AP159" s="62"/>
      <c r="AQ159" s="59"/>
      <c r="AR159" s="59"/>
      <c r="AS159" s="59"/>
      <c r="AT159" s="189">
        <f>VLOOKUP(B:B,综合进度!B:N,13,0)</f>
        <v>6.2509454260602703e-003</v>
      </c>
      <c r="AU159" s="59">
        <f t="shared" si="2673"/>
        <v>37.343022956375499</v>
      </c>
      <c r="AV159" s="59"/>
      <c r="AW159" s="59"/>
      <c r="AX159" s="59">
        <f t="shared" si="2674"/>
        <v>2950</v>
      </c>
      <c r="AY159" s="59">
        <v>1735</v>
      </c>
      <c r="AZ159" s="59">
        <f t="shared" si="2675"/>
        <v>1623.8619110756399</v>
      </c>
      <c r="BA159" s="59">
        <f t="shared" si="2676"/>
        <v>1326.1380889243601</v>
      </c>
      <c r="BB159" s="43">
        <f t="shared" si="2490"/>
        <v>0.81665693362186098</v>
      </c>
      <c r="BC159" s="50">
        <v>-2253</v>
      </c>
      <c r="BD159" s="50">
        <f t="shared" si="2677"/>
        <v>-926.86191107563604</v>
      </c>
      <c r="BG159" s="340"/>
    </row>
    <row r="160" ht="17" customHeight="1">
      <c r="A160" s="46">
        <v>107</v>
      </c>
      <c r="B160" s="82" t="s">
        <v>202</v>
      </c>
      <c r="C160" s="46" t="s">
        <v>90</v>
      </c>
      <c r="D160" s="46">
        <v>2018</v>
      </c>
      <c r="E160" s="46" t="s">
        <v>91</v>
      </c>
      <c r="F160" s="46" t="s">
        <v>146</v>
      </c>
      <c r="G160" s="73">
        <v>38110</v>
      </c>
      <c r="H160" s="59">
        <f t="shared" si="2651"/>
        <v>30488</v>
      </c>
      <c r="I160" s="59">
        <f t="shared" si="2652"/>
        <v>0</v>
      </c>
      <c r="J160" s="59">
        <f t="shared" si="2653"/>
        <v>0</v>
      </c>
      <c r="K160" s="59">
        <f t="shared" si="2654"/>
        <v>30488</v>
      </c>
      <c r="L160" s="59">
        <f t="shared" si="2655"/>
        <v>0</v>
      </c>
      <c r="M160" s="59">
        <f t="shared" si="2656"/>
        <v>0</v>
      </c>
      <c r="N160" s="59">
        <v>8586</v>
      </c>
      <c r="O160" s="59">
        <v>3888</v>
      </c>
      <c r="P160" s="59">
        <f t="shared" si="2663"/>
        <v>0</v>
      </c>
      <c r="Q160" s="59"/>
      <c r="R160" s="59"/>
      <c r="S160" s="59"/>
      <c r="T160" s="59"/>
      <c r="U160" s="59">
        <v>645</v>
      </c>
      <c r="V160" s="59">
        <f t="shared" si="2664"/>
        <v>652.76945006075596</v>
      </c>
      <c r="W160" s="59">
        <v>11336.540000000001</v>
      </c>
      <c r="X160" s="62">
        <f t="shared" si="2665"/>
        <v>0.69743199150559498</v>
      </c>
      <c r="Y160" s="62">
        <f t="shared" si="2666"/>
        <v>3.2567284275345201</v>
      </c>
      <c r="Z160" s="62">
        <f t="shared" si="2678"/>
        <v>3.2567284275345201</v>
      </c>
      <c r="AA160" s="59">
        <f t="shared" si="2667"/>
        <v>258.00110350275799</v>
      </c>
      <c r="AB160" s="59">
        <v>4263.1999999999998</v>
      </c>
      <c r="AC160" s="59">
        <f t="shared" si="2668"/>
        <v>53.785886614600997</v>
      </c>
      <c r="AD160" s="59"/>
      <c r="AE160" s="59"/>
      <c r="AF160" s="59">
        <v>10</v>
      </c>
      <c r="AG160" s="59">
        <f t="shared" si="2669"/>
        <v>10</v>
      </c>
      <c r="AH160" s="59">
        <f t="shared" si="2670"/>
        <v>16.858981233243998</v>
      </c>
      <c r="AI160" s="59">
        <v>0.27815040650406497</v>
      </c>
      <c r="AJ160" s="59">
        <f t="shared" si="2671"/>
        <v>0.27815040650406497</v>
      </c>
      <c r="AK160" s="59">
        <f t="shared" si="2672"/>
        <v>18.980122281039801</v>
      </c>
      <c r="AL160" s="338"/>
      <c r="AM160" s="59"/>
      <c r="AN160" s="59">
        <v>2000</v>
      </c>
      <c r="AO160" s="62"/>
      <c r="AP160" s="62"/>
      <c r="AQ160" s="59"/>
      <c r="AR160" s="59"/>
      <c r="AS160" s="59"/>
      <c r="AT160" s="189">
        <f>VLOOKUP(B:B,综合进度!B:N,13,0)</f>
        <v>8.9979229828752502e-003</v>
      </c>
      <c r="AU160" s="59">
        <f t="shared" si="2673"/>
        <v>53.753411941237097</v>
      </c>
      <c r="AV160" s="59"/>
      <c r="AW160" s="59"/>
      <c r="AX160" s="59">
        <f t="shared" si="2674"/>
        <v>3054</v>
      </c>
      <c r="AY160" s="59">
        <v>3571</v>
      </c>
      <c r="AZ160" s="59">
        <f t="shared" si="2675"/>
        <v>3342.25411207556</v>
      </c>
      <c r="BA160" s="59">
        <f t="shared" si="2676"/>
        <v>-288.25411207555902</v>
      </c>
      <c r="BB160" s="43">
        <f t="shared" si="2490"/>
        <v>-8.6245420727914399e-002</v>
      </c>
      <c r="BC160" s="50">
        <v>-7251</v>
      </c>
      <c r="BD160" s="50">
        <f t="shared" si="2677"/>
        <v>-7539.2541120755604</v>
      </c>
      <c r="BG160" s="340"/>
    </row>
    <row r="161" ht="17" customHeight="1">
      <c r="A161" s="46">
        <v>108</v>
      </c>
      <c r="B161" s="82" t="s">
        <v>203</v>
      </c>
      <c r="C161" s="46" t="s">
        <v>90</v>
      </c>
      <c r="D161" s="46">
        <v>2018</v>
      </c>
      <c r="E161" s="46" t="s">
        <v>91</v>
      </c>
      <c r="F161" s="46" t="s">
        <v>146</v>
      </c>
      <c r="G161" s="73">
        <v>28783</v>
      </c>
      <c r="H161" s="59">
        <f t="shared" si="2651"/>
        <v>23026.400000000001</v>
      </c>
      <c r="I161" s="59">
        <f t="shared" si="2652"/>
        <v>0</v>
      </c>
      <c r="J161" s="59">
        <f t="shared" si="2653"/>
        <v>0</v>
      </c>
      <c r="K161" s="59">
        <f t="shared" si="2654"/>
        <v>23026.400000000001</v>
      </c>
      <c r="L161" s="59">
        <f t="shared" si="2655"/>
        <v>0</v>
      </c>
      <c r="M161" s="59">
        <f t="shared" si="2656"/>
        <v>0</v>
      </c>
      <c r="N161" s="59">
        <v>6488</v>
      </c>
      <c r="O161" s="59">
        <v>5025</v>
      </c>
      <c r="P161" s="59">
        <f t="shared" si="2663"/>
        <v>0</v>
      </c>
      <c r="Q161" s="59"/>
      <c r="R161" s="59"/>
      <c r="S161" s="59"/>
      <c r="T161" s="59"/>
      <c r="U161" s="59">
        <v>644</v>
      </c>
      <c r="V161" s="59">
        <f t="shared" si="2664"/>
        <v>501.12015530408098</v>
      </c>
      <c r="W161" s="59">
        <v>11587.969999999999</v>
      </c>
      <c r="X161" s="62">
        <f t="shared" si="2665"/>
        <v>0.65685926461428301</v>
      </c>
      <c r="Y161" s="62">
        <f t="shared" si="2666"/>
        <v>2.3168083122210401</v>
      </c>
      <c r="Z161" s="62">
        <f t="shared" si="2678"/>
        <v>2.3168083122210401</v>
      </c>
      <c r="AA161" s="59">
        <f t="shared" si="2667"/>
        <v>183.53974378204501</v>
      </c>
      <c r="AB161" s="59">
        <v>1368.1772000000001</v>
      </c>
      <c r="AC161" s="59">
        <f t="shared" si="2668"/>
        <v>17.2613585447275</v>
      </c>
      <c r="AD161" s="59"/>
      <c r="AE161" s="59"/>
      <c r="AF161" s="59">
        <v>6</v>
      </c>
      <c r="AG161" s="59">
        <f t="shared" si="2669"/>
        <v>6</v>
      </c>
      <c r="AH161" s="59">
        <f t="shared" si="2670"/>
        <v>10.1153887399464</v>
      </c>
      <c r="AI161" s="59">
        <v>0.85000734537975597</v>
      </c>
      <c r="AJ161" s="59">
        <f t="shared" si="2671"/>
        <v>0.85000734537975597</v>
      </c>
      <c r="AK161" s="59">
        <f t="shared" si="2672"/>
        <v>58.001868693490501</v>
      </c>
      <c r="AL161" s="338"/>
      <c r="AM161" s="59"/>
      <c r="AN161" s="59">
        <v>2000</v>
      </c>
      <c r="AO161" s="62"/>
      <c r="AP161" s="62"/>
      <c r="AQ161" s="59"/>
      <c r="AR161" s="59"/>
      <c r="AS161" s="59"/>
      <c r="AT161" s="189">
        <f>VLOOKUP(B:B,综合进度!B:N,13,0)</f>
        <v>6.62742838112035e-003</v>
      </c>
      <c r="AU161" s="59">
        <f t="shared" si="2673"/>
        <v>39.592124600245299</v>
      </c>
      <c r="AV161" s="59"/>
      <c r="AW161" s="59"/>
      <c r="AX161" s="59">
        <f t="shared" si="2674"/>
        <v>2810</v>
      </c>
      <c r="AY161" s="59">
        <v>1010</v>
      </c>
      <c r="AZ161" s="59">
        <f t="shared" si="2675"/>
        <v>945.30289924287695</v>
      </c>
      <c r="BA161" s="59">
        <f t="shared" si="2676"/>
        <v>1864.6971007571201</v>
      </c>
      <c r="BB161" s="43">
        <f t="shared" si="2490"/>
        <v>1.97259217363093</v>
      </c>
      <c r="BC161" s="50">
        <v>-3959</v>
      </c>
      <c r="BD161" s="50">
        <f t="shared" si="2677"/>
        <v>-2094.3028992428799</v>
      </c>
      <c r="BG161" s="340"/>
    </row>
    <row r="162" ht="17" customHeight="1">
      <c r="A162" s="46">
        <v>109</v>
      </c>
      <c r="B162" s="82" t="s">
        <v>199</v>
      </c>
      <c r="C162" s="46" t="s">
        <v>78</v>
      </c>
      <c r="D162" s="46"/>
      <c r="E162" s="46"/>
      <c r="F162" s="46" t="s">
        <v>146</v>
      </c>
      <c r="G162" s="73">
        <v>13568</v>
      </c>
      <c r="H162" s="59">
        <f t="shared" si="2651"/>
        <v>8140.8000000000002</v>
      </c>
      <c r="I162" s="59">
        <f t="shared" si="2652"/>
        <v>8140.8000000000002</v>
      </c>
      <c r="J162" s="59">
        <f t="shared" si="2653"/>
        <v>0</v>
      </c>
      <c r="K162" s="59">
        <f t="shared" si="2654"/>
        <v>0</v>
      </c>
      <c r="L162" s="59">
        <f t="shared" si="2655"/>
        <v>0</v>
      </c>
      <c r="M162" s="59">
        <f t="shared" si="2656"/>
        <v>0</v>
      </c>
      <c r="N162" s="59">
        <v>5006</v>
      </c>
      <c r="O162" s="59">
        <v>527</v>
      </c>
      <c r="P162" s="59">
        <f t="shared" si="2663"/>
        <v>0</v>
      </c>
      <c r="Q162" s="59"/>
      <c r="R162" s="59"/>
      <c r="S162" s="59"/>
      <c r="T162" s="59"/>
      <c r="U162" s="59">
        <v>2</v>
      </c>
      <c r="V162" s="59">
        <f t="shared" si="2664"/>
        <v>301.23514993780498</v>
      </c>
      <c r="W162" s="59">
        <v>12888.75</v>
      </c>
      <c r="X162" s="62">
        <f t="shared" si="2665"/>
        <v>0.446955149410523</v>
      </c>
      <c r="Y162" s="62">
        <f t="shared" si="2666"/>
        <v>0.83017449451510605</v>
      </c>
      <c r="Z162" s="62">
        <f>Y162*0.2</f>
        <v>0.16603489890302101</v>
      </c>
      <c r="AA162" s="59">
        <f t="shared" si="2667"/>
        <v>13.153441587199801</v>
      </c>
      <c r="AB162" s="59">
        <v>499.26560000000001</v>
      </c>
      <c r="AC162" s="59">
        <f t="shared" si="2668"/>
        <v>6.2988935429186403</v>
      </c>
      <c r="AD162" s="59"/>
      <c r="AE162" s="59"/>
      <c r="AF162" s="59">
        <v>14</v>
      </c>
      <c r="AG162" s="59">
        <f>AF162*0.5</f>
        <v>7</v>
      </c>
      <c r="AH162" s="59">
        <f t="shared" si="2670"/>
        <v>11.8012868632708</v>
      </c>
      <c r="AI162" s="59">
        <v>0.27486982734995902</v>
      </c>
      <c r="AJ162" s="59">
        <f>AI162*0.5</f>
        <v>0.13743491367498001</v>
      </c>
      <c r="AK162" s="59">
        <f t="shared" si="2672"/>
        <v>9.3781328599177698</v>
      </c>
      <c r="AL162" s="338"/>
      <c r="AM162" s="59"/>
      <c r="AN162" s="59"/>
      <c r="AO162" s="62"/>
      <c r="AP162" s="62"/>
      <c r="AQ162" s="59"/>
      <c r="AR162" s="59"/>
      <c r="AS162" s="59"/>
      <c r="AT162" s="189">
        <f>VLOOKUP(B:B,综合进度!B:N,13,0)</f>
        <v>4.67291473016426e-003</v>
      </c>
      <c r="AU162" s="59">
        <f t="shared" si="2673"/>
        <v>27.915899139706699</v>
      </c>
      <c r="AV162" s="59"/>
      <c r="AW162" s="59"/>
      <c r="AX162" s="59">
        <f t="shared" si="2674"/>
        <v>370</v>
      </c>
      <c r="AY162" s="59">
        <v>3805</v>
      </c>
      <c r="AZ162" s="59">
        <f t="shared" si="2675"/>
        <v>3561.2648827912299</v>
      </c>
      <c r="BA162" s="59">
        <f t="shared" si="2676"/>
        <v>-3191.2648827912299</v>
      </c>
      <c r="BB162" s="43">
        <f t="shared" si="2490"/>
        <v>-0.89610433029345404</v>
      </c>
      <c r="BC162" s="50">
        <v>-5995</v>
      </c>
      <c r="BD162" s="50">
        <f t="shared" si="2677"/>
        <v>-9186.2648827912308</v>
      </c>
      <c r="BG162" s="340"/>
    </row>
    <row r="163" s="5" customFormat="1" ht="17" customHeight="1">
      <c r="A163" s="65"/>
      <c r="B163" s="66" t="s">
        <v>204</v>
      </c>
      <c r="C163" s="67">
        <v>1</v>
      </c>
      <c r="D163" s="67"/>
      <c r="E163" s="67"/>
      <c r="F163" s="68"/>
      <c r="G163" s="69">
        <f t="shared" ref="G163:P163" si="2679">G164+G165</f>
        <v>163512</v>
      </c>
      <c r="H163" s="69">
        <f t="shared" si="2679"/>
        <v>146456.10000000001</v>
      </c>
      <c r="I163" s="69">
        <f t="shared" si="2679"/>
        <v>10342.799999999999</v>
      </c>
      <c r="J163" s="69">
        <f t="shared" si="2679"/>
        <v>10215.1</v>
      </c>
      <c r="K163" s="69">
        <f t="shared" si="2679"/>
        <v>0</v>
      </c>
      <c r="L163" s="69">
        <f t="shared" si="2679"/>
        <v>52045.199999999997</v>
      </c>
      <c r="M163" s="69">
        <f t="shared" si="2679"/>
        <v>73853</v>
      </c>
      <c r="N163" s="69">
        <f t="shared" si="2679"/>
        <v>29428</v>
      </c>
      <c r="O163" s="69">
        <f t="shared" si="2679"/>
        <v>24965</v>
      </c>
      <c r="P163" s="69">
        <f t="shared" si="2679"/>
        <v>12523.799999999999</v>
      </c>
      <c r="Q163" s="59">
        <v>1253</v>
      </c>
      <c r="R163" s="69">
        <f t="shared" ref="R163:V163" si="2680">R164+R165</f>
        <v>0</v>
      </c>
      <c r="S163" s="69">
        <f t="shared" si="2680"/>
        <v>11772</v>
      </c>
      <c r="T163" s="69">
        <f t="shared" si="2680"/>
        <v>0</v>
      </c>
      <c r="U163" s="69">
        <f t="shared" si="2680"/>
        <v>3900</v>
      </c>
      <c r="V163" s="69">
        <f t="shared" si="2680"/>
        <v>2874.6004720553301</v>
      </c>
      <c r="W163" s="69"/>
      <c r="X163" s="69">
        <f t="shared" ref="X163:AC163" si="2681">X164+X165</f>
        <v>2.6559943327599398</v>
      </c>
      <c r="Y163" s="69">
        <f t="shared" si="2681"/>
        <v>12.5165837584839</v>
      </c>
      <c r="Z163" s="69">
        <f t="shared" si="2681"/>
        <v>10.898324912716101</v>
      </c>
      <c r="AA163" s="69">
        <f t="shared" si="2681"/>
        <v>863.37559805101398</v>
      </c>
      <c r="AB163" s="69">
        <f t="shared" si="2681"/>
        <v>19392.9797</v>
      </c>
      <c r="AC163" s="69">
        <f t="shared" si="2681"/>
        <v>244.66799757540301</v>
      </c>
      <c r="AD163" s="69"/>
      <c r="AE163" s="69"/>
      <c r="AF163" s="69">
        <f t="shared" ref="AF163:AK163" si="2682">AF164+AF165</f>
        <v>124</v>
      </c>
      <c r="AG163" s="59">
        <f t="shared" si="2682"/>
        <v>110.5</v>
      </c>
      <c r="AH163" s="59">
        <f t="shared" si="2682"/>
        <v>186.291742627346</v>
      </c>
      <c r="AI163" s="69">
        <f t="shared" si="2682"/>
        <v>4.0370225197581604</v>
      </c>
      <c r="AJ163" s="59">
        <f t="shared" si="2682"/>
        <v>3.20802918156553</v>
      </c>
      <c r="AK163" s="59">
        <f t="shared" si="2682"/>
        <v>218.90597577238401</v>
      </c>
      <c r="AL163" s="69"/>
      <c r="AM163" s="69"/>
      <c r="AN163" s="69">
        <f t="shared" ref="AN163:AU163" si="2683">AN164+AN165</f>
        <v>3000</v>
      </c>
      <c r="AO163" s="69"/>
      <c r="AP163" s="69"/>
      <c r="AQ163" s="69">
        <f t="shared" si="2683"/>
        <v>0</v>
      </c>
      <c r="AR163" s="69"/>
      <c r="AS163" s="69">
        <f t="shared" si="2683"/>
        <v>0</v>
      </c>
      <c r="AT163" s="403">
        <f t="shared" si="2683"/>
        <v>2.6947985537057701e-002</v>
      </c>
      <c r="AU163" s="69">
        <f t="shared" si="2683"/>
        <v>160.986726638672</v>
      </c>
      <c r="AV163" s="69"/>
      <c r="AW163" s="71"/>
      <c r="AX163" s="69">
        <f t="shared" ref="AX163:BA163" si="2684">AX164+AX165</f>
        <v>7549</v>
      </c>
      <c r="AY163" s="69">
        <v>4733</v>
      </c>
      <c r="AZ163" s="69">
        <f t="shared" si="2684"/>
        <v>4429.8204179371696</v>
      </c>
      <c r="BA163" s="69">
        <f t="shared" si="2684"/>
        <v>3119.1795820628299</v>
      </c>
      <c r="BB163" s="336">
        <f t="shared" si="2490"/>
        <v>0.70413228704095898</v>
      </c>
      <c r="BC163" s="404">
        <v>4767</v>
      </c>
      <c r="BD163" s="69">
        <f>BD164+BD165</f>
        <v>7890.1795820628304</v>
      </c>
      <c r="BG163" s="340"/>
    </row>
    <row r="164" s="5" customFormat="1" ht="17" customHeight="1">
      <c r="A164" s="44"/>
      <c r="B164" s="72" t="s">
        <v>205</v>
      </c>
      <c r="C164" s="46">
        <v>2</v>
      </c>
      <c r="D164" s="46"/>
      <c r="E164" s="46"/>
      <c r="F164" s="46"/>
      <c r="G164" s="73"/>
      <c r="H164" s="59">
        <f t="shared" ref="H164:H170" si="2685">SUM(I164:M164)</f>
        <v>0</v>
      </c>
      <c r="I164" s="59">
        <f t="shared" ref="I164:I170" si="2686">IF(D164="",G164*0.6,0)</f>
        <v>0</v>
      </c>
      <c r="J164" s="59">
        <f t="shared" ref="J164:J170" si="2687">IF(D164=2017,G164*0.7,0)</f>
        <v>0</v>
      </c>
      <c r="K164" s="59">
        <f t="shared" ref="K164:K170" si="2688">IF(D164=2018,G164*0.8,0)</f>
        <v>0</v>
      </c>
      <c r="L164" s="59">
        <f t="shared" ref="L164:L170" si="2689">IF(D164=2019,G164*0.9,0)</f>
        <v>0</v>
      </c>
      <c r="M164" s="59">
        <f t="shared" ref="M164:M170" si="2690">IF(D164=2020,G164*1,0)</f>
        <v>0</v>
      </c>
      <c r="N164" s="59"/>
      <c r="O164" s="59"/>
      <c r="P164" s="59">
        <f>L164*0.4+M164*0.6+N164*0.8+O164*1</f>
        <v>0</v>
      </c>
      <c r="Q164" s="59"/>
      <c r="R164" s="59"/>
      <c r="S164" s="59"/>
      <c r="T164" s="59"/>
      <c r="U164" s="59"/>
      <c r="V164" s="59">
        <f>H164/$H$9*134866+N164/$N$9*202299+P164/$P$9*100000+U164/$U$9*34867</f>
        <v>0</v>
      </c>
      <c r="W164" s="59"/>
      <c r="X164" s="62"/>
      <c r="Y164" s="62"/>
      <c r="Z164" s="62"/>
      <c r="AA164" s="59"/>
      <c r="AB164" s="59"/>
      <c r="AC164" s="59"/>
      <c r="AD164" s="59"/>
      <c r="AE164" s="59"/>
      <c r="AF164" s="59"/>
      <c r="AG164" s="59">
        <f t="shared" ref="AG164:AG170" si="2691">AF164</f>
        <v>0</v>
      </c>
      <c r="AH164" s="59">
        <f>AG164/$AG$9*40459.89</f>
        <v>0</v>
      </c>
      <c r="AI164" s="59"/>
      <c r="AJ164" s="59">
        <f t="shared" ref="AJ164:AJ170" si="2692">AI164</f>
        <v>0</v>
      </c>
      <c r="AK164" s="59">
        <f>AJ164/$AJ$9*40459.89</f>
        <v>0</v>
      </c>
      <c r="AL164" s="59"/>
      <c r="AM164" s="59"/>
      <c r="AN164" s="59"/>
      <c r="AO164" s="62"/>
      <c r="AP164" s="62"/>
      <c r="AQ164" s="59"/>
      <c r="AR164" s="59"/>
      <c r="AS164" s="59"/>
      <c r="AT164" s="189"/>
      <c r="AU164" s="59"/>
      <c r="AV164" s="59"/>
      <c r="AW164" s="59"/>
      <c r="AX164" s="59">
        <f>V164+AA164+AC164+AE164+AH164+AK164+AM164+AN164+AQ164+AS164+AU164+AW164</f>
        <v>0</v>
      </c>
      <c r="AY164" s="59"/>
      <c r="AZ164" s="170"/>
      <c r="BA164" s="50"/>
      <c r="BB164" s="43"/>
      <c r="BC164" s="50">
        <v>-4</v>
      </c>
      <c r="BD164" s="50"/>
      <c r="BG164" s="340"/>
    </row>
    <row r="165" s="5" customFormat="1" ht="17" customHeight="1">
      <c r="A165" s="75"/>
      <c r="B165" s="76" t="s">
        <v>76</v>
      </c>
      <c r="C165" s="77">
        <v>3</v>
      </c>
      <c r="D165" s="77"/>
      <c r="E165" s="77"/>
      <c r="F165" s="78"/>
      <c r="G165" s="79">
        <f t="shared" ref="G165:P165" si="2693">SUM(G166:G170)</f>
        <v>163512</v>
      </c>
      <c r="H165" s="79">
        <f t="shared" si="2693"/>
        <v>146456.10000000001</v>
      </c>
      <c r="I165" s="79">
        <f t="shared" si="2693"/>
        <v>10342.799999999999</v>
      </c>
      <c r="J165" s="79">
        <f t="shared" si="2693"/>
        <v>10215.1</v>
      </c>
      <c r="K165" s="79">
        <f t="shared" si="2693"/>
        <v>0</v>
      </c>
      <c r="L165" s="79">
        <f t="shared" si="2693"/>
        <v>52045.199999999997</v>
      </c>
      <c r="M165" s="79">
        <f t="shared" si="2693"/>
        <v>73853</v>
      </c>
      <c r="N165" s="79">
        <f t="shared" si="2693"/>
        <v>29428</v>
      </c>
      <c r="O165" s="79">
        <f t="shared" si="2693"/>
        <v>24965</v>
      </c>
      <c r="P165" s="79">
        <f t="shared" si="2693"/>
        <v>12523.799999999999</v>
      </c>
      <c r="Q165" s="59">
        <v>1253</v>
      </c>
      <c r="R165" s="79">
        <f t="shared" ref="R165:V165" si="2694">SUM(R166:R170)</f>
        <v>0</v>
      </c>
      <c r="S165" s="79">
        <f t="shared" si="2694"/>
        <v>11772</v>
      </c>
      <c r="T165" s="79">
        <f t="shared" si="2694"/>
        <v>0</v>
      </c>
      <c r="U165" s="79">
        <f t="shared" si="2694"/>
        <v>3900</v>
      </c>
      <c r="V165" s="79">
        <f t="shared" si="2694"/>
        <v>2874.6004720553301</v>
      </c>
      <c r="W165" s="79"/>
      <c r="X165" s="79">
        <f t="shared" ref="X165:AC165" si="2695">SUM(X166:X170)</f>
        <v>2.6559943327599398</v>
      </c>
      <c r="Y165" s="79">
        <f t="shared" si="2695"/>
        <v>12.5165837584839</v>
      </c>
      <c r="Z165" s="79">
        <f t="shared" si="2695"/>
        <v>10.898324912716101</v>
      </c>
      <c r="AA165" s="79">
        <f t="shared" si="2695"/>
        <v>863.37559805101398</v>
      </c>
      <c r="AB165" s="79">
        <f t="shared" si="2695"/>
        <v>19392.9797</v>
      </c>
      <c r="AC165" s="79">
        <f t="shared" si="2695"/>
        <v>244.66799757540301</v>
      </c>
      <c r="AD165" s="79"/>
      <c r="AE165" s="79"/>
      <c r="AF165" s="79">
        <f t="shared" ref="AF165:AK165" si="2696">SUM(AF166:AF170)</f>
        <v>124</v>
      </c>
      <c r="AG165" s="59">
        <f t="shared" si="2696"/>
        <v>110.5</v>
      </c>
      <c r="AH165" s="59">
        <f t="shared" si="2696"/>
        <v>186.291742627346</v>
      </c>
      <c r="AI165" s="79">
        <f t="shared" si="2696"/>
        <v>4.0370225197581604</v>
      </c>
      <c r="AJ165" s="59">
        <f t="shared" si="2696"/>
        <v>3.20802918156553</v>
      </c>
      <c r="AK165" s="59">
        <f t="shared" si="2696"/>
        <v>218.90597577238401</v>
      </c>
      <c r="AL165" s="79"/>
      <c r="AM165" s="79"/>
      <c r="AN165" s="79">
        <f t="shared" ref="AN165:AU165" si="2697">SUM(AN166:AN170)</f>
        <v>3000</v>
      </c>
      <c r="AO165" s="79"/>
      <c r="AP165" s="79"/>
      <c r="AQ165" s="79">
        <f t="shared" si="2697"/>
        <v>0</v>
      </c>
      <c r="AR165" s="79"/>
      <c r="AS165" s="79">
        <f t="shared" si="2697"/>
        <v>0</v>
      </c>
      <c r="AT165" s="405">
        <f t="shared" si="2697"/>
        <v>2.6947985537057701e-002</v>
      </c>
      <c r="AU165" s="79">
        <f t="shared" si="2697"/>
        <v>160.986726638672</v>
      </c>
      <c r="AV165" s="79"/>
      <c r="AW165" s="81"/>
      <c r="AX165" s="79">
        <f t="shared" ref="AX165:BA165" si="2698">SUM(AX166:AX170)</f>
        <v>7549</v>
      </c>
      <c r="AY165" s="79">
        <v>4733</v>
      </c>
      <c r="AZ165" s="79">
        <f t="shared" si="2698"/>
        <v>4429.8204179371696</v>
      </c>
      <c r="BA165" s="79">
        <f t="shared" si="2698"/>
        <v>3119.1795820628299</v>
      </c>
      <c r="BB165" s="337">
        <f t="shared" si="2490"/>
        <v>0.70413228704095898</v>
      </c>
      <c r="BC165" s="406">
        <v>4771</v>
      </c>
      <c r="BD165" s="79">
        <f>SUM(BD166:BD170)</f>
        <v>7890.1795820628304</v>
      </c>
      <c r="BG165" s="340"/>
    </row>
    <row r="166" ht="17" customHeight="1">
      <c r="A166" s="46">
        <v>110</v>
      </c>
      <c r="B166" s="82" t="s">
        <v>206</v>
      </c>
      <c r="C166" s="46" t="s">
        <v>78</v>
      </c>
      <c r="D166" s="46"/>
      <c r="E166" s="46"/>
      <c r="F166" s="46"/>
      <c r="G166" s="73">
        <v>1798</v>
      </c>
      <c r="H166" s="59">
        <f t="shared" si="2685"/>
        <v>1078.8</v>
      </c>
      <c r="I166" s="59">
        <f t="shared" si="2686"/>
        <v>1078.8</v>
      </c>
      <c r="J166" s="59">
        <f t="shared" si="2687"/>
        <v>0</v>
      </c>
      <c r="K166" s="59">
        <f t="shared" si="2688"/>
        <v>0</v>
      </c>
      <c r="L166" s="59">
        <f t="shared" si="2689"/>
        <v>0</v>
      </c>
      <c r="M166" s="59">
        <f t="shared" si="2690"/>
        <v>0</v>
      </c>
      <c r="N166" s="59">
        <v>461</v>
      </c>
      <c r="O166" s="59">
        <v>177</v>
      </c>
      <c r="P166" s="59">
        <f t="shared" ref="P166:P170" si="2699">Q166*0.6+R166*0.8+S166*1+T166*1.25</f>
        <v>0</v>
      </c>
      <c r="Q166" s="59"/>
      <c r="R166" s="59"/>
      <c r="S166" s="59"/>
      <c r="T166" s="59"/>
      <c r="U166" s="59">
        <v>36</v>
      </c>
      <c r="V166" s="59">
        <f t="shared" ref="V166:V170" si="2700">H166/$H$9*298699*0.12+N166/$N$9*298699*0.15+P166/$P$9*298699*0.035+U166/$U$9*298699*0.025</f>
        <v>31.617876116272399</v>
      </c>
      <c r="W166" s="59">
        <v>14488.950000000001</v>
      </c>
      <c r="X166" s="62">
        <f t="shared" ref="X166:X170" si="2701">($W$64-W166)/($W$64-$W$44)</f>
        <v>0.18873426259718401</v>
      </c>
      <c r="Y166" s="62">
        <f t="shared" ref="Y166:Y170" si="2702">(G166+N166)*X166/10000</f>
        <v>4.2635069920703803e-002</v>
      </c>
      <c r="Z166" s="62">
        <f>Y166*0.2</f>
        <v>8.5270139841407706e-003</v>
      </c>
      <c r="AA166" s="59">
        <f t="shared" ref="AA166:AA170" si="2703">Z166/$Z$9*298699*0.12</f>
        <v>0.67551810549866498</v>
      </c>
      <c r="AB166" s="59">
        <v>126.56999999999999</v>
      </c>
      <c r="AC166" s="59">
        <f t="shared" ref="AC166:AC170" si="2704">(AB166/$AB$9*298699*0.03)</f>
        <v>1.59684736085805</v>
      </c>
      <c r="AD166" s="59"/>
      <c r="AE166" s="59"/>
      <c r="AF166" s="59">
        <v>7</v>
      </c>
      <c r="AG166" s="59">
        <f>AF166*0.5</f>
        <v>3.5</v>
      </c>
      <c r="AH166" s="59">
        <f t="shared" ref="AH166:AH170" si="2705">AG166/$AG$9*298699*0.02</f>
        <v>5.9006434316353902</v>
      </c>
      <c r="AI166" s="59">
        <v>0.572265625</v>
      </c>
      <c r="AJ166" s="59">
        <f>AI166*0.5</f>
        <v>0.2861328125</v>
      </c>
      <c r="AK166" s="59">
        <f t="shared" ref="AK166:AK170" si="2706">AJ166/$AJ$9*298699*0.02</f>
        <v>19.524816943916498</v>
      </c>
      <c r="AL166" s="338"/>
      <c r="AM166" s="59"/>
      <c r="AN166" s="59"/>
      <c r="AO166" s="62"/>
      <c r="AP166" s="62"/>
      <c r="AQ166" s="59"/>
      <c r="AR166" s="59"/>
      <c r="AS166" s="59"/>
      <c r="AT166" s="189">
        <f>VLOOKUP(B:B,综合进度!B:N,13,0)</f>
        <v>2.4544578561453301e-003</v>
      </c>
      <c r="AU166" s="59">
        <f t="shared" ref="AU166:AU170" si="2707">AT166/$AT$9*298699*0.02</f>
        <v>14.662882143455001</v>
      </c>
      <c r="AV166" s="59"/>
      <c r="AW166" s="59"/>
      <c r="AX166" s="59">
        <f t="shared" ref="AX166:AX170" si="2708">ROUND(V166+AA166+AC166+AN166+AQ166+AS166+AU166+AW166+AH166+AK166,0)</f>
        <v>74</v>
      </c>
      <c r="AY166" s="59">
        <v>139</v>
      </c>
      <c r="AZ166" s="59">
        <f t="shared" ref="AZ166:AZ170" si="2709">AY166/$AY$9*280243</f>
        <v>130.09614157896999</v>
      </c>
      <c r="BA166" s="59">
        <f t="shared" ref="BA166:BA170" si="2710">AX166-AZ166</f>
        <v>-56.096141578970197</v>
      </c>
      <c r="BB166" s="43">
        <f t="shared" ref="BB166:BB194" si="2711">BA166/AZ166</f>
        <v>-0.43118989462819002</v>
      </c>
      <c r="BC166" s="50">
        <v>685</v>
      </c>
      <c r="BD166" s="50">
        <f t="shared" ref="BD166:BD170" si="2712">BC166+BA166</f>
        <v>628.90385842103001</v>
      </c>
      <c r="BG166" s="340"/>
    </row>
    <row r="167" ht="17" customHeight="1">
      <c r="A167" s="46">
        <v>111</v>
      </c>
      <c r="B167" s="82" t="s">
        <v>208</v>
      </c>
      <c r="C167" s="46" t="s">
        <v>90</v>
      </c>
      <c r="D167" s="46">
        <v>2019</v>
      </c>
      <c r="E167" s="46" t="s">
        <v>91</v>
      </c>
      <c r="F167" s="46"/>
      <c r="G167" s="73">
        <v>57828</v>
      </c>
      <c r="H167" s="59">
        <f t="shared" si="2685"/>
        <v>52045.199999999997</v>
      </c>
      <c r="I167" s="59">
        <f t="shared" si="2686"/>
        <v>0</v>
      </c>
      <c r="J167" s="59">
        <f t="shared" si="2687"/>
        <v>0</v>
      </c>
      <c r="K167" s="59">
        <f t="shared" si="2688"/>
        <v>0</v>
      </c>
      <c r="L167" s="59">
        <f t="shared" si="2689"/>
        <v>52045.199999999997</v>
      </c>
      <c r="M167" s="59">
        <f t="shared" si="2690"/>
        <v>0</v>
      </c>
      <c r="N167" s="59">
        <v>10560</v>
      </c>
      <c r="O167" s="59">
        <v>2624</v>
      </c>
      <c r="P167" s="59">
        <f t="shared" si="2699"/>
        <v>751.79999999999995</v>
      </c>
      <c r="Q167" s="59">
        <v>1253</v>
      </c>
      <c r="R167" s="59"/>
      <c r="S167" s="59"/>
      <c r="T167" s="59"/>
      <c r="U167" s="59">
        <v>912</v>
      </c>
      <c r="V167" s="59">
        <f t="shared" si="2700"/>
        <v>917.40530347112497</v>
      </c>
      <c r="W167" s="59">
        <v>11086.49</v>
      </c>
      <c r="X167" s="62">
        <f t="shared" si="2701"/>
        <v>0.73778203071798998</v>
      </c>
      <c r="Y167" s="62">
        <f t="shared" si="2702"/>
        <v>5.0455437516741899</v>
      </c>
      <c r="Z167" s="62">
        <f>Y167*1</f>
        <v>5.0455437516741899</v>
      </c>
      <c r="AA167" s="59">
        <f t="shared" si="2703"/>
        <v>399.71274383749301</v>
      </c>
      <c r="AB167" s="59">
        <v>5934.8999999999996</v>
      </c>
      <c r="AC167" s="59">
        <f t="shared" si="2704"/>
        <v>74.876585304230503</v>
      </c>
      <c r="AD167" s="59"/>
      <c r="AE167" s="59"/>
      <c r="AF167" s="59">
        <v>40</v>
      </c>
      <c r="AG167" s="59">
        <f t="shared" si="2691"/>
        <v>40</v>
      </c>
      <c r="AH167" s="59">
        <f t="shared" si="2705"/>
        <v>67.435924932975894</v>
      </c>
      <c r="AI167" s="59">
        <v>1</v>
      </c>
      <c r="AJ167" s="59">
        <f t="shared" si="2692"/>
        <v>1</v>
      </c>
      <c r="AK167" s="59">
        <f t="shared" si="2706"/>
        <v>68.236902902970996</v>
      </c>
      <c r="AL167" s="338"/>
      <c r="AM167" s="59"/>
      <c r="AN167" s="59">
        <v>2000</v>
      </c>
      <c r="AO167" s="62"/>
      <c r="AP167" s="62"/>
      <c r="AQ167" s="59"/>
      <c r="AR167" s="59"/>
      <c r="AS167" s="59"/>
      <c r="AT167" s="189">
        <f>VLOOKUP(B:B,综合进度!B:N,13,0)</f>
        <v>6.3478797633933397e-003</v>
      </c>
      <c r="AU167" s="59">
        <f t="shared" si="2707"/>
        <v>37.922106748916498</v>
      </c>
      <c r="AV167" s="59"/>
      <c r="AW167" s="59"/>
      <c r="AX167" s="59">
        <f t="shared" si="2708"/>
        <v>3566</v>
      </c>
      <c r="AY167" s="59">
        <v>1267</v>
      </c>
      <c r="AZ167" s="59">
        <f t="shared" si="2709"/>
        <v>1185.8403696442799</v>
      </c>
      <c r="BA167" s="59">
        <f t="shared" si="2710"/>
        <v>2380.1596303557199</v>
      </c>
      <c r="BB167" s="43">
        <f t="shared" si="2711"/>
        <v>2.0071501116711801</v>
      </c>
      <c r="BC167" s="50">
        <v>1082</v>
      </c>
      <c r="BD167" s="50">
        <f t="shared" si="2712"/>
        <v>3462.1596303557199</v>
      </c>
      <c r="BG167" s="340"/>
    </row>
    <row r="168" ht="17" customHeight="1">
      <c r="A168" s="46">
        <v>112</v>
      </c>
      <c r="B168" s="82" t="s">
        <v>209</v>
      </c>
      <c r="C168" s="46" t="s">
        <v>78</v>
      </c>
      <c r="D168" s="46"/>
      <c r="E168" s="46"/>
      <c r="F168" s="46"/>
      <c r="G168" s="73">
        <v>15440</v>
      </c>
      <c r="H168" s="59">
        <f t="shared" si="2685"/>
        <v>9264</v>
      </c>
      <c r="I168" s="59">
        <f t="shared" si="2686"/>
        <v>9264</v>
      </c>
      <c r="J168" s="59">
        <f t="shared" si="2687"/>
        <v>0</v>
      </c>
      <c r="K168" s="59">
        <f t="shared" si="2688"/>
        <v>0</v>
      </c>
      <c r="L168" s="59">
        <f t="shared" si="2689"/>
        <v>0</v>
      </c>
      <c r="M168" s="59">
        <f t="shared" si="2690"/>
        <v>0</v>
      </c>
      <c r="N168" s="59">
        <v>4362</v>
      </c>
      <c r="O168" s="59">
        <v>744</v>
      </c>
      <c r="P168" s="59">
        <f t="shared" si="2699"/>
        <v>0</v>
      </c>
      <c r="Q168" s="59"/>
      <c r="R168" s="59"/>
      <c r="S168" s="59"/>
      <c r="T168" s="59"/>
      <c r="U168" s="59">
        <v>438</v>
      </c>
      <c r="V168" s="59">
        <f t="shared" si="2700"/>
        <v>298.18265218646599</v>
      </c>
      <c r="W168" s="59">
        <v>10268.18</v>
      </c>
      <c r="X168" s="62">
        <f t="shared" si="2701"/>
        <v>0.86983098327906005</v>
      </c>
      <c r="Y168" s="62">
        <f t="shared" si="2702"/>
        <v>1.72243931308919</v>
      </c>
      <c r="Z168" s="62">
        <f>Y168*0.2</f>
        <v>0.34448786261783898</v>
      </c>
      <c r="AA168" s="59">
        <f t="shared" si="2703"/>
        <v>27.290654003347001</v>
      </c>
      <c r="AB168" s="59">
        <v>4747.6700000000001</v>
      </c>
      <c r="AC168" s="59">
        <f t="shared" si="2704"/>
        <v>59.898114163900999</v>
      </c>
      <c r="AD168" s="59"/>
      <c r="AE168" s="59"/>
      <c r="AF168" s="59">
        <v>20</v>
      </c>
      <c r="AG168" s="59">
        <f>AF168*0.5</f>
        <v>10</v>
      </c>
      <c r="AH168" s="59">
        <f t="shared" si="2705"/>
        <v>16.858981233243998</v>
      </c>
      <c r="AI168" s="59">
        <v>1.08572105138527</v>
      </c>
      <c r="AJ168" s="59">
        <f>AI168*0.5</f>
        <v>0.54286052569263499</v>
      </c>
      <c r="AK168" s="59">
        <f t="shared" si="2706"/>
        <v>37.043120981544099</v>
      </c>
      <c r="AL168" s="338"/>
      <c r="AM168" s="59"/>
      <c r="AN168" s="59"/>
      <c r="AO168" s="62"/>
      <c r="AP168" s="62"/>
      <c r="AQ168" s="59"/>
      <c r="AR168" s="59"/>
      <c r="AS168" s="59"/>
      <c r="AT168" s="189">
        <f>VLOOKUP(B:B,综合进度!B:N,13,0)</f>
        <v>2.9472646998210399e-003</v>
      </c>
      <c r="AU168" s="59">
        <f t="shared" si="2707"/>
        <v>17.6069003714369</v>
      </c>
      <c r="AV168" s="59"/>
      <c r="AW168" s="59"/>
      <c r="AX168" s="59">
        <f t="shared" si="2708"/>
        <v>457</v>
      </c>
      <c r="AY168" s="59">
        <v>273</v>
      </c>
      <c r="AZ168" s="59">
        <f t="shared" si="2709"/>
        <v>255.51256583495601</v>
      </c>
      <c r="BA168" s="59">
        <f t="shared" si="2710"/>
        <v>201.48743416504399</v>
      </c>
      <c r="BB168" s="43">
        <f t="shared" si="2711"/>
        <v>0.78856174257665101</v>
      </c>
      <c r="BC168" s="50">
        <v>1459</v>
      </c>
      <c r="BD168" s="50">
        <f t="shared" si="2712"/>
        <v>1660.48743416504</v>
      </c>
      <c r="BG168" s="340"/>
    </row>
    <row r="169" ht="17" customHeight="1">
      <c r="A169" s="46">
        <v>113</v>
      </c>
      <c r="B169" s="82" t="s">
        <v>210</v>
      </c>
      <c r="C169" s="46" t="s">
        <v>93</v>
      </c>
      <c r="D169" s="46">
        <v>2020</v>
      </c>
      <c r="E169" s="46" t="s">
        <v>94</v>
      </c>
      <c r="F169" s="46"/>
      <c r="G169" s="73">
        <v>73853</v>
      </c>
      <c r="H169" s="59">
        <f t="shared" si="2685"/>
        <v>73853</v>
      </c>
      <c r="I169" s="59">
        <f t="shared" si="2686"/>
        <v>0</v>
      </c>
      <c r="J169" s="59">
        <f t="shared" si="2687"/>
        <v>0</v>
      </c>
      <c r="K169" s="59">
        <f t="shared" si="2688"/>
        <v>0</v>
      </c>
      <c r="L169" s="59">
        <f t="shared" si="2689"/>
        <v>0</v>
      </c>
      <c r="M169" s="59">
        <f t="shared" si="2690"/>
        <v>73853</v>
      </c>
      <c r="N169" s="59">
        <v>11321</v>
      </c>
      <c r="O169" s="59">
        <v>20405</v>
      </c>
      <c r="P169" s="59">
        <f t="shared" si="2699"/>
        <v>11772</v>
      </c>
      <c r="Q169" s="59">
        <v>0</v>
      </c>
      <c r="R169" s="59"/>
      <c r="S169" s="59">
        <v>11772</v>
      </c>
      <c r="T169" s="59"/>
      <c r="U169" s="59">
        <v>2101</v>
      </c>
      <c r="V169" s="59">
        <f t="shared" si="2700"/>
        <v>1406.34433542853</v>
      </c>
      <c r="W169" s="59">
        <v>11807.09</v>
      </c>
      <c r="X169" s="62">
        <f t="shared" si="2701"/>
        <v>0.62150033403151805</v>
      </c>
      <c r="Y169" s="62">
        <f t="shared" si="2702"/>
        <v>5.2935669450800598</v>
      </c>
      <c r="Z169" s="62">
        <f>Y169*1</f>
        <v>5.2935669450800598</v>
      </c>
      <c r="AA169" s="59">
        <f t="shared" si="2703"/>
        <v>419.36137559075001</v>
      </c>
      <c r="AB169" s="59">
        <v>6466.2397000000001</v>
      </c>
      <c r="AC169" s="59">
        <f t="shared" si="2704"/>
        <v>81.580135890183797</v>
      </c>
      <c r="AD169" s="59"/>
      <c r="AE169" s="59"/>
      <c r="AF169" s="59">
        <v>38</v>
      </c>
      <c r="AG169" s="59">
        <f t="shared" si="2691"/>
        <v>38</v>
      </c>
      <c r="AH169" s="59">
        <f t="shared" si="2705"/>
        <v>64.064128686327095</v>
      </c>
      <c r="AI169" s="59">
        <v>0.529989094874591</v>
      </c>
      <c r="AJ169" s="59">
        <f t="shared" si="2692"/>
        <v>0.529989094874591</v>
      </c>
      <c r="AK169" s="59">
        <f t="shared" si="2706"/>
        <v>36.164814406590899</v>
      </c>
      <c r="AL169" s="338"/>
      <c r="AM169" s="59"/>
      <c r="AN169" s="59">
        <v>1000</v>
      </c>
      <c r="AO169" s="62"/>
      <c r="AP169" s="62"/>
      <c r="AQ169" s="59"/>
      <c r="AR169" s="59"/>
      <c r="AS169" s="59"/>
      <c r="AT169" s="189">
        <f>VLOOKUP(B:B,综合进度!B:N,13,0)</f>
        <v>1.21604118607025e-002</v>
      </c>
      <c r="AU169" s="59">
        <f t="shared" si="2707"/>
        <v>72.6460572475996</v>
      </c>
      <c r="AV169" s="59"/>
      <c r="AW169" s="59"/>
      <c r="AX169" s="59">
        <f t="shared" si="2708"/>
        <v>3080</v>
      </c>
      <c r="AY169" s="59">
        <v>2777</v>
      </c>
      <c r="AZ169" s="59">
        <f t="shared" si="2709"/>
        <v>2599.1150011856098</v>
      </c>
      <c r="BA169" s="59">
        <f t="shared" si="2710"/>
        <v>480.88499881438599</v>
      </c>
      <c r="BB169" s="43">
        <f t="shared" si="2711"/>
        <v>0.18501874622516701</v>
      </c>
      <c r="BC169" s="50">
        <v>131</v>
      </c>
      <c r="BD169" s="50">
        <f t="shared" si="2712"/>
        <v>611.88499881438599</v>
      </c>
      <c r="BF169" s="341"/>
      <c r="BG169" s="339"/>
    </row>
    <row r="170" ht="17" customHeight="1">
      <c r="A170" s="46">
        <v>114</v>
      </c>
      <c r="B170" s="82" t="s">
        <v>207</v>
      </c>
      <c r="C170" s="46" t="s">
        <v>90</v>
      </c>
      <c r="D170" s="46">
        <v>2017</v>
      </c>
      <c r="E170" s="46"/>
      <c r="F170" s="46"/>
      <c r="G170" s="73">
        <v>14593</v>
      </c>
      <c r="H170" s="59">
        <f t="shared" si="2685"/>
        <v>10215.1</v>
      </c>
      <c r="I170" s="59">
        <f t="shared" si="2686"/>
        <v>0</v>
      </c>
      <c r="J170" s="59">
        <f t="shared" si="2687"/>
        <v>10215.1</v>
      </c>
      <c r="K170" s="59">
        <f t="shared" si="2688"/>
        <v>0</v>
      </c>
      <c r="L170" s="59">
        <f t="shared" si="2689"/>
        <v>0</v>
      </c>
      <c r="M170" s="59">
        <f t="shared" si="2690"/>
        <v>0</v>
      </c>
      <c r="N170" s="59">
        <v>2724</v>
      </c>
      <c r="O170" s="59">
        <v>1015</v>
      </c>
      <c r="P170" s="59">
        <f t="shared" si="2699"/>
        <v>0</v>
      </c>
      <c r="Q170" s="59"/>
      <c r="R170" s="59"/>
      <c r="S170" s="59"/>
      <c r="T170" s="59"/>
      <c r="U170" s="59">
        <v>413</v>
      </c>
      <c r="V170" s="59">
        <f t="shared" si="2700"/>
        <v>221.050304852935</v>
      </c>
      <c r="W170" s="59">
        <v>14182.74</v>
      </c>
      <c r="X170" s="62">
        <f t="shared" si="2701"/>
        <v>0.238146722134187</v>
      </c>
      <c r="Y170" s="62">
        <f t="shared" si="2702"/>
        <v>0.41239867871977198</v>
      </c>
      <c r="Z170" s="62">
        <f>Y170*0.5</f>
        <v>0.20619933935988599</v>
      </c>
      <c r="AA170" s="59">
        <f t="shared" si="2703"/>
        <v>16.3353065139253</v>
      </c>
      <c r="AB170" s="59">
        <v>2117.5999999999999</v>
      </c>
      <c r="AC170" s="59">
        <f t="shared" si="2704"/>
        <v>26.7163148562299</v>
      </c>
      <c r="AD170" s="59"/>
      <c r="AE170" s="59"/>
      <c r="AF170" s="59">
        <v>19</v>
      </c>
      <c r="AG170" s="59">
        <f t="shared" si="2691"/>
        <v>19</v>
      </c>
      <c r="AH170" s="59">
        <f t="shared" si="2705"/>
        <v>32.032064343163498</v>
      </c>
      <c r="AI170" s="59">
        <v>0.84904674849830197</v>
      </c>
      <c r="AJ170" s="59">
        <f t="shared" si="2692"/>
        <v>0.84904674849830197</v>
      </c>
      <c r="AK170" s="59">
        <f t="shared" si="2706"/>
        <v>57.936320537361802</v>
      </c>
      <c r="AL170" s="338"/>
      <c r="AM170" s="59"/>
      <c r="AN170" s="59"/>
      <c r="AO170" s="62"/>
      <c r="AP170" s="62"/>
      <c r="AQ170" s="59"/>
      <c r="AR170" s="59"/>
      <c r="AS170" s="59"/>
      <c r="AT170" s="189">
        <f>VLOOKUP(B:B,综合进度!B:N,13,0)</f>
        <v>3.03797135699549e-003</v>
      </c>
      <c r="AU170" s="59">
        <f t="shared" si="2707"/>
        <v>18.148780127263901</v>
      </c>
      <c r="AV170" s="59"/>
      <c r="AW170" s="59"/>
      <c r="AX170" s="59">
        <f t="shared" si="2708"/>
        <v>372</v>
      </c>
      <c r="AY170" s="59">
        <v>277</v>
      </c>
      <c r="AZ170" s="59">
        <f t="shared" si="2709"/>
        <v>259.25633969334399</v>
      </c>
      <c r="BA170" s="59">
        <f t="shared" si="2710"/>
        <v>112.743660306656</v>
      </c>
      <c r="BB170" s="43">
        <f t="shared" si="2711"/>
        <v>0.43487330122770801</v>
      </c>
      <c r="BC170" s="50">
        <v>1414</v>
      </c>
      <c r="BD170" s="50">
        <f t="shared" si="2712"/>
        <v>1526.7436603066601</v>
      </c>
      <c r="BG170" s="340"/>
    </row>
    <row r="171" s="5" customFormat="1" ht="17" customHeight="1">
      <c r="A171" s="65"/>
      <c r="B171" s="66" t="s">
        <v>211</v>
      </c>
      <c r="C171" s="67">
        <v>1</v>
      </c>
      <c r="D171" s="67"/>
      <c r="E171" s="67"/>
      <c r="F171" s="68"/>
      <c r="G171" s="69">
        <f t="shared" ref="G171:P171" si="2713">G172+G173</f>
        <v>229768</v>
      </c>
      <c r="H171" s="69">
        <f t="shared" si="2713"/>
        <v>228035.60000000001</v>
      </c>
      <c r="I171" s="69">
        <f t="shared" si="2713"/>
        <v>0</v>
      </c>
      <c r="J171" s="69">
        <f t="shared" si="2713"/>
        <v>0</v>
      </c>
      <c r="K171" s="69">
        <f t="shared" si="2713"/>
        <v>0</v>
      </c>
      <c r="L171" s="69">
        <f t="shared" si="2713"/>
        <v>15591.6</v>
      </c>
      <c r="M171" s="69">
        <f t="shared" si="2713"/>
        <v>212444</v>
      </c>
      <c r="N171" s="69">
        <f t="shared" si="2713"/>
        <v>41805</v>
      </c>
      <c r="O171" s="69">
        <f t="shared" si="2713"/>
        <v>95859</v>
      </c>
      <c r="P171" s="69">
        <f t="shared" si="2713"/>
        <v>75881.350000000006</v>
      </c>
      <c r="Q171" s="59">
        <v>16227</v>
      </c>
      <c r="R171" s="69">
        <f t="shared" ref="R171:V171" si="2714">R172+R173</f>
        <v>16578</v>
      </c>
      <c r="S171" s="69">
        <f t="shared" si="2714"/>
        <v>48644</v>
      </c>
      <c r="T171" s="69">
        <f t="shared" si="2714"/>
        <v>3391</v>
      </c>
      <c r="U171" s="69">
        <f t="shared" si="2714"/>
        <v>2100</v>
      </c>
      <c r="V171" s="69">
        <f t="shared" si="2714"/>
        <v>5373.4536356126901</v>
      </c>
      <c r="W171" s="69"/>
      <c r="X171" s="69">
        <f t="shared" ref="X171:AC171" si="2715">X172+X173</f>
        <v>2.3891096042936799</v>
      </c>
      <c r="Y171" s="69">
        <f t="shared" si="2715"/>
        <v>16.7246346656942</v>
      </c>
      <c r="Z171" s="69">
        <f t="shared" si="2715"/>
        <v>16.7246346656942</v>
      </c>
      <c r="AA171" s="69">
        <f t="shared" si="2715"/>
        <v>1324.9413623033299</v>
      </c>
      <c r="AB171" s="69">
        <f t="shared" si="2715"/>
        <v>16172.68</v>
      </c>
      <c r="AC171" s="69">
        <f t="shared" si="2715"/>
        <v>204.03967271866799</v>
      </c>
      <c r="AD171" s="69"/>
      <c r="AE171" s="69"/>
      <c r="AF171" s="69">
        <f t="shared" ref="AF171:AK171" si="2716">AF172+AF173</f>
        <v>68</v>
      </c>
      <c r="AG171" s="59">
        <f t="shared" si="2716"/>
        <v>68</v>
      </c>
      <c r="AH171" s="59">
        <f t="shared" si="2716"/>
        <v>114.64107238605899</v>
      </c>
      <c r="AI171" s="69">
        <f t="shared" si="2716"/>
        <v>2.3648402148676002</v>
      </c>
      <c r="AJ171" s="59">
        <f t="shared" si="2716"/>
        <v>2.3648402148676002</v>
      </c>
      <c r="AK171" s="59">
        <f t="shared" si="2716"/>
        <v>161.36937212296201</v>
      </c>
      <c r="AL171" s="69"/>
      <c r="AM171" s="69"/>
      <c r="AN171" s="69">
        <f t="shared" ref="AN171:AU171" si="2717">AN172+AN173</f>
        <v>4000</v>
      </c>
      <c r="AO171" s="69"/>
      <c r="AP171" s="69"/>
      <c r="AQ171" s="69">
        <f t="shared" si="2717"/>
        <v>0</v>
      </c>
      <c r="AR171" s="69"/>
      <c r="AS171" s="69">
        <f t="shared" si="2717"/>
        <v>0</v>
      </c>
      <c r="AT171" s="403">
        <f t="shared" si="2717"/>
        <v>8.7993259011365801e-002</v>
      </c>
      <c r="AU171" s="69">
        <f t="shared" si="2717"/>
        <v>525.66996946871905</v>
      </c>
      <c r="AV171" s="69"/>
      <c r="AW171" s="71"/>
      <c r="AX171" s="69">
        <f t="shared" ref="AX171:BA171" si="2718">AX172+AX173</f>
        <v>11705</v>
      </c>
      <c r="AY171" s="69">
        <v>32107</v>
      </c>
      <c r="AZ171" s="69">
        <f t="shared" si="2718"/>
        <v>30050.336817812899</v>
      </c>
      <c r="BA171" s="69">
        <f t="shared" si="2718"/>
        <v>-18345.336817812899</v>
      </c>
      <c r="BB171" s="336">
        <f t="shared" si="2711"/>
        <v>-0.61048689500672604</v>
      </c>
      <c r="BC171" s="404">
        <v>4144</v>
      </c>
      <c r="BD171" s="69">
        <f>BD172+BD173</f>
        <v>-14245.3368178129</v>
      </c>
      <c r="BG171" s="340"/>
    </row>
    <row r="172" s="5" customFormat="1" ht="17" customHeight="1">
      <c r="A172" s="44"/>
      <c r="B172" s="72" t="s">
        <v>212</v>
      </c>
      <c r="C172" s="46">
        <v>2</v>
      </c>
      <c r="D172" s="46"/>
      <c r="E172" s="46"/>
      <c r="F172" s="46"/>
      <c r="G172" s="73"/>
      <c r="H172" s="59">
        <f t="shared" ref="H172:H177" si="2719">SUM(I172:M172)</f>
        <v>0</v>
      </c>
      <c r="I172" s="59">
        <f t="shared" ref="I172:I177" si="2720">IF(D172="",G172*0.6,0)</f>
        <v>0</v>
      </c>
      <c r="J172" s="59">
        <f t="shared" ref="J172:J177" si="2721">IF(D172=2017,G172*0.7,0)</f>
        <v>0</v>
      </c>
      <c r="K172" s="59">
        <f t="shared" ref="K172:K177" si="2722">IF(D172=2018,G172*0.8,0)</f>
        <v>0</v>
      </c>
      <c r="L172" s="59">
        <f t="shared" ref="L172:L177" si="2723">IF(D172=2019,G172*0.9,0)</f>
        <v>0</v>
      </c>
      <c r="M172" s="59">
        <f t="shared" ref="M172:M177" si="2724">IF(D172=2020,G172*1,0)</f>
        <v>0</v>
      </c>
      <c r="N172" s="59"/>
      <c r="O172" s="59"/>
      <c r="P172" s="59">
        <f>L172*0.4+M172*0.6+N172*0.8+O172*1</f>
        <v>0</v>
      </c>
      <c r="Q172" s="59"/>
      <c r="R172" s="59"/>
      <c r="S172" s="59"/>
      <c r="T172" s="59"/>
      <c r="U172" s="59"/>
      <c r="V172" s="59">
        <f>H172/$H$9*134866+N172/$N$9*202299+P172/$P$9*100000+U172/$U$9*34867</f>
        <v>0</v>
      </c>
      <c r="W172" s="59"/>
      <c r="X172" s="62"/>
      <c r="Y172" s="62"/>
      <c r="Z172" s="62"/>
      <c r="AA172" s="59"/>
      <c r="AB172" s="59"/>
      <c r="AC172" s="59"/>
      <c r="AD172" s="59"/>
      <c r="AE172" s="59"/>
      <c r="AF172" s="59"/>
      <c r="AG172" s="59">
        <f t="shared" ref="AG172:AG177" si="2725">AF172</f>
        <v>0</v>
      </c>
      <c r="AH172" s="59">
        <f>AG172/$AG$9*40459.89</f>
        <v>0</v>
      </c>
      <c r="AI172" s="59"/>
      <c r="AJ172" s="59">
        <f t="shared" ref="AJ172:AJ177" si="2726">AI172</f>
        <v>0</v>
      </c>
      <c r="AK172" s="59">
        <f>AJ172/$AJ$9*40459.89</f>
        <v>0</v>
      </c>
      <c r="AL172" s="59"/>
      <c r="AM172" s="59"/>
      <c r="AN172" s="59"/>
      <c r="AO172" s="62"/>
      <c r="AP172" s="62"/>
      <c r="AQ172" s="59"/>
      <c r="AR172" s="59"/>
      <c r="AS172" s="59"/>
      <c r="AT172" s="189"/>
      <c r="AU172" s="59"/>
      <c r="AV172" s="59"/>
      <c r="AW172" s="59"/>
      <c r="AX172" s="59">
        <f>V172+AA172+AC172+AE172+AH172+AK172+AM172+AN172+AQ172+AS172+AU172+AW172</f>
        <v>0</v>
      </c>
      <c r="AY172" s="59"/>
      <c r="AZ172" s="170"/>
      <c r="BA172" s="50"/>
      <c r="BB172" s="43"/>
      <c r="BC172" s="50">
        <v>44</v>
      </c>
      <c r="BD172" s="50"/>
      <c r="BG172" s="340"/>
    </row>
    <row r="173" s="5" customFormat="1" ht="17" customHeight="1">
      <c r="A173" s="75"/>
      <c r="B173" s="76" t="s">
        <v>76</v>
      </c>
      <c r="C173" s="77">
        <v>3</v>
      </c>
      <c r="D173" s="77"/>
      <c r="E173" s="77"/>
      <c r="F173" s="78"/>
      <c r="G173" s="79">
        <f t="shared" ref="G173:P173" si="2727">SUM(G174:G177)</f>
        <v>229768</v>
      </c>
      <c r="H173" s="79">
        <f t="shared" si="2727"/>
        <v>228035.60000000001</v>
      </c>
      <c r="I173" s="79">
        <f t="shared" si="2727"/>
        <v>0</v>
      </c>
      <c r="J173" s="79">
        <f t="shared" si="2727"/>
        <v>0</v>
      </c>
      <c r="K173" s="79">
        <f t="shared" si="2727"/>
        <v>0</v>
      </c>
      <c r="L173" s="79">
        <f t="shared" si="2727"/>
        <v>15591.6</v>
      </c>
      <c r="M173" s="79">
        <f t="shared" si="2727"/>
        <v>212444</v>
      </c>
      <c r="N173" s="79">
        <f t="shared" si="2727"/>
        <v>41805</v>
      </c>
      <c r="O173" s="79">
        <f t="shared" si="2727"/>
        <v>95859</v>
      </c>
      <c r="P173" s="79">
        <f t="shared" si="2727"/>
        <v>75881.350000000006</v>
      </c>
      <c r="Q173" s="59">
        <v>16227</v>
      </c>
      <c r="R173" s="79">
        <f t="shared" ref="R173:V173" si="2728">SUM(R174:R177)</f>
        <v>16578</v>
      </c>
      <c r="S173" s="79">
        <f t="shared" si="2728"/>
        <v>48644</v>
      </c>
      <c r="T173" s="79">
        <f t="shared" si="2728"/>
        <v>3391</v>
      </c>
      <c r="U173" s="79">
        <f t="shared" si="2728"/>
        <v>2100</v>
      </c>
      <c r="V173" s="79">
        <f t="shared" si="2728"/>
        <v>5373.4536356126901</v>
      </c>
      <c r="W173" s="79"/>
      <c r="X173" s="79">
        <f t="shared" ref="X173:AC173" si="2729">SUM(X174:X177)</f>
        <v>2.3891096042936799</v>
      </c>
      <c r="Y173" s="79">
        <f t="shared" si="2729"/>
        <v>16.7246346656942</v>
      </c>
      <c r="Z173" s="79">
        <f t="shared" si="2729"/>
        <v>16.7246346656942</v>
      </c>
      <c r="AA173" s="79">
        <f t="shared" si="2729"/>
        <v>1324.9413623033299</v>
      </c>
      <c r="AB173" s="79">
        <f t="shared" si="2729"/>
        <v>16172.68</v>
      </c>
      <c r="AC173" s="79">
        <f t="shared" si="2729"/>
        <v>204.03967271866799</v>
      </c>
      <c r="AD173" s="79"/>
      <c r="AE173" s="79"/>
      <c r="AF173" s="79">
        <f t="shared" ref="AF173:AK173" si="2730">SUM(AF174:AF177)</f>
        <v>68</v>
      </c>
      <c r="AG173" s="59">
        <f t="shared" si="2730"/>
        <v>68</v>
      </c>
      <c r="AH173" s="59">
        <f t="shared" si="2730"/>
        <v>114.64107238605899</v>
      </c>
      <c r="AI173" s="79">
        <f t="shared" si="2730"/>
        <v>2.3648402148676002</v>
      </c>
      <c r="AJ173" s="59">
        <f t="shared" si="2730"/>
        <v>2.3648402148676002</v>
      </c>
      <c r="AK173" s="59">
        <f t="shared" si="2730"/>
        <v>161.36937212296201</v>
      </c>
      <c r="AL173" s="79"/>
      <c r="AM173" s="79"/>
      <c r="AN173" s="79">
        <f t="shared" ref="AN173:AU173" si="2731">SUM(AN174:AN177)</f>
        <v>4000</v>
      </c>
      <c r="AO173" s="79"/>
      <c r="AP173" s="79"/>
      <c r="AQ173" s="79">
        <f t="shared" si="2731"/>
        <v>0</v>
      </c>
      <c r="AR173" s="79"/>
      <c r="AS173" s="79">
        <f t="shared" si="2731"/>
        <v>0</v>
      </c>
      <c r="AT173" s="405">
        <f t="shared" si="2731"/>
        <v>8.7993259011365801e-002</v>
      </c>
      <c r="AU173" s="79">
        <f t="shared" si="2731"/>
        <v>525.66996946871905</v>
      </c>
      <c r="AV173" s="79"/>
      <c r="AW173" s="81"/>
      <c r="AX173" s="79">
        <f t="shared" ref="AX173:BA173" si="2732">SUM(AX174:AX177)</f>
        <v>11705</v>
      </c>
      <c r="AY173" s="79">
        <v>32107</v>
      </c>
      <c r="AZ173" s="79">
        <f t="shared" si="2732"/>
        <v>30050.336817812899</v>
      </c>
      <c r="BA173" s="79">
        <f t="shared" si="2732"/>
        <v>-18345.336817812899</v>
      </c>
      <c r="BB173" s="337">
        <f t="shared" si="2711"/>
        <v>-0.61048689500672604</v>
      </c>
      <c r="BC173" s="406">
        <v>4100</v>
      </c>
      <c r="BD173" s="79">
        <f>SUM(BD174:BD177)</f>
        <v>-14245.3368178129</v>
      </c>
      <c r="BG173" s="340"/>
    </row>
    <row r="174" ht="17" customHeight="1">
      <c r="A174" s="46">
        <v>115</v>
      </c>
      <c r="B174" s="82" t="s">
        <v>216</v>
      </c>
      <c r="C174" s="46" t="s">
        <v>93</v>
      </c>
      <c r="D174" s="46">
        <v>2020</v>
      </c>
      <c r="E174" s="46" t="s">
        <v>94</v>
      </c>
      <c r="F174" s="46"/>
      <c r="G174" s="73">
        <f>88228-1522</f>
        <v>86706</v>
      </c>
      <c r="H174" s="59">
        <f t="shared" si="2719"/>
        <v>86706</v>
      </c>
      <c r="I174" s="59">
        <f t="shared" si="2720"/>
        <v>0</v>
      </c>
      <c r="J174" s="59">
        <f t="shared" si="2721"/>
        <v>0</v>
      </c>
      <c r="K174" s="59">
        <f t="shared" si="2722"/>
        <v>0</v>
      </c>
      <c r="L174" s="59">
        <f t="shared" si="2723"/>
        <v>0</v>
      </c>
      <c r="M174" s="59">
        <f t="shared" si="2724"/>
        <v>86706</v>
      </c>
      <c r="N174" s="59">
        <v>17288</v>
      </c>
      <c r="O174" s="59">
        <v>39927</v>
      </c>
      <c r="P174" s="59">
        <f t="shared" ref="P174:P177" si="2733">Q174*0.6+R174*0.8+S174*1+T174*1.25</f>
        <v>33823</v>
      </c>
      <c r="Q174" s="59">
        <v>1458</v>
      </c>
      <c r="R174" s="59">
        <v>5324</v>
      </c>
      <c r="S174" s="59">
        <v>28689</v>
      </c>
      <c r="T174" s="59"/>
      <c r="U174" s="59">
        <v>1120</v>
      </c>
      <c r="V174" s="59">
        <f t="shared" ref="V174:V177" si="2734">H174/$H$9*298699*0.12+N174/$N$9*298699*0.15+P174/$P$9*298699*0.035+U174/$U$9*298699*0.025</f>
        <v>2243.5462225905599</v>
      </c>
      <c r="W174" s="59">
        <v>11496.65</v>
      </c>
      <c r="X174" s="62">
        <f t="shared" ref="X174:X177" si="2735">($W$64-W174)/($W$64-$W$44)</f>
        <v>0.67159537971476602</v>
      </c>
      <c r="Y174" s="62">
        <f t="shared" ref="Y174:Y177" si="2736">(G174+N174)*X174/10000</f>
        <v>6.9841889918057403</v>
      </c>
      <c r="Z174" s="62">
        <f t="shared" ref="Z174:Z177" si="2737">Y174*1</f>
        <v>6.9841889918057403</v>
      </c>
      <c r="AA174" s="59">
        <f t="shared" ref="AA174:AA177" si="2738">Z174/$Z$9*298699*0.12</f>
        <v>553.29405170016901</v>
      </c>
      <c r="AB174" s="59">
        <v>4460.1999999999998</v>
      </c>
      <c r="AC174" s="59">
        <f t="shared" ref="AC174:AC177" si="2739">(AB174/$AB$9*298699*0.03)</f>
        <v>56.271301247523802</v>
      </c>
      <c r="AD174" s="59"/>
      <c r="AE174" s="59"/>
      <c r="AF174" s="59">
        <v>12</v>
      </c>
      <c r="AG174" s="59">
        <f t="shared" si="2725"/>
        <v>12</v>
      </c>
      <c r="AH174" s="59">
        <f t="shared" ref="AH174:AH177" si="2740">AG174/$AG$9*298699*0.02</f>
        <v>20.230777479892801</v>
      </c>
      <c r="AI174" s="59">
        <v>0.37787297141444898</v>
      </c>
      <c r="AJ174" s="59">
        <f t="shared" si="2726"/>
        <v>0.37787297141444898</v>
      </c>
      <c r="AK174" s="59">
        <f t="shared" ref="AK174:AK177" si="2741">AJ174/$AJ$9*298699*0.02</f>
        <v>25.7848812600649</v>
      </c>
      <c r="AL174" s="338"/>
      <c r="AM174" s="59"/>
      <c r="AN174" s="59">
        <v>1000</v>
      </c>
      <c r="AO174" s="62"/>
      <c r="AP174" s="62"/>
      <c r="AQ174" s="59"/>
      <c r="AR174" s="59"/>
      <c r="AS174" s="59"/>
      <c r="AT174" s="189">
        <f>VLOOKUP(B:B,综合进度!B:N,13,0)</f>
        <v>2.47119333593969e-002</v>
      </c>
      <c r="AU174" s="59">
        <f t="shared" ref="AU174:AU177" si="2742">AT174/$AT$9*298699*0.02</f>
        <v>147.62859565036999</v>
      </c>
      <c r="AV174" s="59"/>
      <c r="AW174" s="59"/>
      <c r="AX174" s="59">
        <f t="shared" ref="AX174:AX177" si="2743">ROUND(V174+AA174+AC174+AN174+AQ174+AS174+AU174+AW174+AH174+AK174,0)</f>
        <v>4047</v>
      </c>
      <c r="AY174" s="59">
        <v>4735</v>
      </c>
      <c r="AZ174" s="59">
        <f t="shared" ref="AZ174:AZ177" si="2744">AY174/$AY$9*280243</f>
        <v>4431.6923048663602</v>
      </c>
      <c r="BA174" s="59">
        <f t="shared" ref="BA174:BA177" si="2745">AX174-AZ174</f>
        <v>-384.69230486636002</v>
      </c>
      <c r="BB174" s="43">
        <f t="shared" si="2711"/>
        <v>-8.6804831744283495e-002</v>
      </c>
      <c r="BC174" s="50">
        <v>2528</v>
      </c>
      <c r="BD174" s="50">
        <f t="shared" ref="BD174:BD177" si="2746">BC174+BA174</f>
        <v>2143.3076951336402</v>
      </c>
      <c r="BF174" s="341"/>
      <c r="BG174" s="339"/>
    </row>
    <row r="175" ht="17" customHeight="1">
      <c r="A175" s="46">
        <v>116</v>
      </c>
      <c r="B175" s="82" t="s">
        <v>214</v>
      </c>
      <c r="C175" s="46" t="s">
        <v>93</v>
      </c>
      <c r="D175" s="46">
        <v>2020</v>
      </c>
      <c r="E175" s="46" t="s">
        <v>94</v>
      </c>
      <c r="F175" s="46" t="s">
        <v>146</v>
      </c>
      <c r="G175" s="73">
        <f>61052-1097</f>
        <v>59955</v>
      </c>
      <c r="H175" s="59">
        <f t="shared" si="2719"/>
        <v>59955</v>
      </c>
      <c r="I175" s="59">
        <f t="shared" si="2720"/>
        <v>0</v>
      </c>
      <c r="J175" s="59">
        <f t="shared" si="2721"/>
        <v>0</v>
      </c>
      <c r="K175" s="59">
        <f t="shared" si="2722"/>
        <v>0</v>
      </c>
      <c r="L175" s="59">
        <f t="shared" si="2723"/>
        <v>0</v>
      </c>
      <c r="M175" s="59">
        <f t="shared" si="2724"/>
        <v>59955</v>
      </c>
      <c r="N175" s="59">
        <v>10721</v>
      </c>
      <c r="O175" s="59">
        <v>22500</v>
      </c>
      <c r="P175" s="59">
        <f t="shared" si="2733"/>
        <v>16040</v>
      </c>
      <c r="Q175" s="59">
        <v>4510</v>
      </c>
      <c r="R175" s="59"/>
      <c r="S175" s="59">
        <v>13334</v>
      </c>
      <c r="T175" s="59"/>
      <c r="U175" s="59">
        <v>49</v>
      </c>
      <c r="V175" s="59">
        <f t="shared" si="2734"/>
        <v>1283.67823379129</v>
      </c>
      <c r="W175" s="59">
        <v>11559.58</v>
      </c>
      <c r="X175" s="62">
        <f t="shared" si="2735"/>
        <v>0.66144049882040101</v>
      </c>
      <c r="Y175" s="62">
        <f t="shared" si="2736"/>
        <v>4.6747968694630702</v>
      </c>
      <c r="Z175" s="62">
        <f t="shared" si="2737"/>
        <v>4.6747968694630702</v>
      </c>
      <c r="AA175" s="59">
        <f t="shared" si="2738"/>
        <v>370.34182548827999</v>
      </c>
      <c r="AB175" s="59">
        <v>2248.6300000000001</v>
      </c>
      <c r="AC175" s="59">
        <f t="shared" si="2739"/>
        <v>28.369430995071799</v>
      </c>
      <c r="AD175" s="59"/>
      <c r="AE175" s="59"/>
      <c r="AF175" s="59">
        <v>10</v>
      </c>
      <c r="AG175" s="59">
        <f t="shared" si="2725"/>
        <v>10</v>
      </c>
      <c r="AH175" s="59">
        <f t="shared" si="2740"/>
        <v>16.858981233243998</v>
      </c>
      <c r="AI175" s="59">
        <v>0.91904527559055105</v>
      </c>
      <c r="AJ175" s="59">
        <f t="shared" si="2726"/>
        <v>0.91904527559055105</v>
      </c>
      <c r="AK175" s="59">
        <f t="shared" si="2741"/>
        <v>62.712803233906598</v>
      </c>
      <c r="AL175" s="338"/>
      <c r="AM175" s="59"/>
      <c r="AN175" s="59">
        <v>1000</v>
      </c>
      <c r="AO175" s="62"/>
      <c r="AP175" s="62"/>
      <c r="AQ175" s="59"/>
      <c r="AR175" s="59"/>
      <c r="AS175" s="59"/>
      <c r="AT175" s="189">
        <f>VLOOKUP(B:B,综合进度!B:N,13,0)</f>
        <v>2.2891153085778701e-002</v>
      </c>
      <c r="AU175" s="59">
        <f t="shared" si="2742"/>
        <v>136.75129071137999</v>
      </c>
      <c r="AV175" s="59"/>
      <c r="AW175" s="59"/>
      <c r="AX175" s="59">
        <f t="shared" si="2743"/>
        <v>2899</v>
      </c>
      <c r="AY175" s="59">
        <v>8036</v>
      </c>
      <c r="AZ175" s="59">
        <f t="shared" si="2744"/>
        <v>7521.24168150075</v>
      </c>
      <c r="BA175" s="59">
        <f t="shared" si="2745"/>
        <v>-4622.24168150075</v>
      </c>
      <c r="BB175" s="43">
        <f t="shared" si="2711"/>
        <v>-0.614558323909418</v>
      </c>
      <c r="BC175" s="50">
        <v>1286</v>
      </c>
      <c r="BD175" s="50">
        <f t="shared" si="2746"/>
        <v>-3336.24168150075</v>
      </c>
      <c r="BE175" s="5">
        <f t="shared" ref="BE175:BE183" si="2747">ROUND(-BD175,0)</f>
        <v>3336</v>
      </c>
      <c r="BF175" s="341">
        <f t="shared" ref="BF175:BF183" si="2748">BE175*29750/39054</f>
        <v>2541.2505761253601</v>
      </c>
      <c r="BG175" s="339"/>
    </row>
    <row r="176" ht="17" customHeight="1">
      <c r="A176" s="46">
        <v>117</v>
      </c>
      <c r="B176" s="82" t="s">
        <v>215</v>
      </c>
      <c r="C176" s="46" t="s">
        <v>93</v>
      </c>
      <c r="D176" s="46">
        <v>2019</v>
      </c>
      <c r="E176" s="46" t="s">
        <v>94</v>
      </c>
      <c r="F176" s="46" t="s">
        <v>146</v>
      </c>
      <c r="G176" s="73">
        <f>17329-5</f>
        <v>17324</v>
      </c>
      <c r="H176" s="59">
        <f t="shared" si="2719"/>
        <v>15591.6</v>
      </c>
      <c r="I176" s="59">
        <f t="shared" si="2720"/>
        <v>0</v>
      </c>
      <c r="J176" s="59">
        <f t="shared" si="2721"/>
        <v>0</v>
      </c>
      <c r="K176" s="59">
        <f t="shared" si="2722"/>
        <v>0</v>
      </c>
      <c r="L176" s="59">
        <f t="shared" si="2723"/>
        <v>15591.6</v>
      </c>
      <c r="M176" s="59">
        <f t="shared" si="2724"/>
        <v>0</v>
      </c>
      <c r="N176" s="59">
        <v>2630</v>
      </c>
      <c r="O176" s="59">
        <v>4119</v>
      </c>
      <c r="P176" s="59">
        <f t="shared" si="2733"/>
        <v>1350.5999999999999</v>
      </c>
      <c r="Q176" s="59">
        <v>2251</v>
      </c>
      <c r="R176" s="59"/>
      <c r="S176" s="59"/>
      <c r="T176" s="59"/>
      <c r="U176" s="59">
        <v>208</v>
      </c>
      <c r="V176" s="59">
        <f t="shared" si="2734"/>
        <v>270.813074376847</v>
      </c>
      <c r="W176" s="59">
        <v>12330.629999999999</v>
      </c>
      <c r="X176" s="62">
        <f t="shared" si="2735"/>
        <v>0.53701779242281</v>
      </c>
      <c r="Y176" s="62">
        <f t="shared" si="2736"/>
        <v>1.0715653030004699</v>
      </c>
      <c r="Z176" s="62">
        <f t="shared" si="2737"/>
        <v>1.0715653030004699</v>
      </c>
      <c r="AA176" s="59">
        <f t="shared" si="2738"/>
        <v>84.890415888525595</v>
      </c>
      <c r="AB176" s="59">
        <v>1510.4000000000001</v>
      </c>
      <c r="AC176" s="59">
        <f t="shared" si="2739"/>
        <v>19.055686606936899</v>
      </c>
      <c r="AD176" s="59"/>
      <c r="AE176" s="59"/>
      <c r="AF176" s="59">
        <v>4</v>
      </c>
      <c r="AG176" s="59">
        <f t="shared" si="2725"/>
        <v>4</v>
      </c>
      <c r="AH176" s="59">
        <f t="shared" si="2740"/>
        <v>6.7435924932975899</v>
      </c>
      <c r="AI176" s="59">
        <v>0.13165942378883</v>
      </c>
      <c r="AJ176" s="59">
        <f t="shared" si="2726"/>
        <v>0.13165942378883</v>
      </c>
      <c r="AK176" s="59">
        <f t="shared" si="2741"/>
        <v>8.9840313173395003</v>
      </c>
      <c r="AL176" s="338"/>
      <c r="AM176" s="59"/>
      <c r="AN176" s="59">
        <v>1000</v>
      </c>
      <c r="AO176" s="62"/>
      <c r="AP176" s="62"/>
      <c r="AQ176" s="59"/>
      <c r="AR176" s="59"/>
      <c r="AS176" s="59"/>
      <c r="AT176" s="189">
        <f>VLOOKUP(B:B,综合进度!B:N,13,0)</f>
        <v>1.42568935380519e-002</v>
      </c>
      <c r="AU176" s="59">
        <f t="shared" si="2742"/>
        <v>85.170396858451397</v>
      </c>
      <c r="AV176" s="59"/>
      <c r="AW176" s="59"/>
      <c r="AX176" s="59">
        <f t="shared" si="2743"/>
        <v>1476</v>
      </c>
      <c r="AY176" s="59">
        <v>5268</v>
      </c>
      <c r="AZ176" s="59">
        <f t="shared" si="2744"/>
        <v>4930.5501714965103</v>
      </c>
      <c r="BA176" s="59">
        <f t="shared" si="2745"/>
        <v>-3454.5501714965098</v>
      </c>
      <c r="BB176" s="43">
        <f t="shared" si="2711"/>
        <v>-0.700641926628645</v>
      </c>
      <c r="BC176" s="50">
        <v>-211</v>
      </c>
      <c r="BD176" s="50">
        <f t="shared" si="2746"/>
        <v>-3665.5501714965098</v>
      </c>
      <c r="BE176" s="5">
        <f t="shared" si="2747"/>
        <v>3666</v>
      </c>
      <c r="BF176" s="341">
        <f t="shared" si="2748"/>
        <v>2792.6332770010799</v>
      </c>
      <c r="BG176" s="339"/>
    </row>
    <row r="177" ht="17" customHeight="1">
      <c r="A177" s="46">
        <v>118</v>
      </c>
      <c r="B177" s="82" t="s">
        <v>213</v>
      </c>
      <c r="C177" s="46" t="s">
        <v>93</v>
      </c>
      <c r="D177" s="46">
        <v>2020</v>
      </c>
      <c r="E177" s="46" t="s">
        <v>94</v>
      </c>
      <c r="F177" s="46" t="s">
        <v>146</v>
      </c>
      <c r="G177" s="73">
        <f>63159+1097+1522+5</f>
        <v>65783</v>
      </c>
      <c r="H177" s="59">
        <f t="shared" si="2719"/>
        <v>65783</v>
      </c>
      <c r="I177" s="59">
        <f t="shared" si="2720"/>
        <v>0</v>
      </c>
      <c r="J177" s="59">
        <f t="shared" si="2721"/>
        <v>0</v>
      </c>
      <c r="K177" s="59">
        <f t="shared" si="2722"/>
        <v>0</v>
      </c>
      <c r="L177" s="59">
        <f t="shared" si="2723"/>
        <v>0</v>
      </c>
      <c r="M177" s="59">
        <f t="shared" si="2724"/>
        <v>65783</v>
      </c>
      <c r="N177" s="59">
        <v>11166</v>
      </c>
      <c r="O177" s="59">
        <v>29313</v>
      </c>
      <c r="P177" s="59">
        <f t="shared" si="2733"/>
        <v>24667.75</v>
      </c>
      <c r="Q177" s="59">
        <v>8008</v>
      </c>
      <c r="R177" s="59">
        <v>11254</v>
      </c>
      <c r="S177" s="59">
        <f>10012-T177</f>
        <v>6621</v>
      </c>
      <c r="T177" s="59">
        <v>3391</v>
      </c>
      <c r="U177" s="59">
        <v>723</v>
      </c>
      <c r="V177" s="59">
        <f t="shared" si="2734"/>
        <v>1575.41610485399</v>
      </c>
      <c r="W177" s="59">
        <v>12441.940000000001</v>
      </c>
      <c r="X177" s="62">
        <f t="shared" si="2735"/>
        <v>0.51905593333569999</v>
      </c>
      <c r="Y177" s="62">
        <f t="shared" si="2736"/>
        <v>3.9940835014248801</v>
      </c>
      <c r="Z177" s="62">
        <f t="shared" si="2737"/>
        <v>3.9940835014248801</v>
      </c>
      <c r="AA177" s="59">
        <f t="shared" si="2738"/>
        <v>316.41506922635602</v>
      </c>
      <c r="AB177" s="59">
        <v>7953.4499999999998</v>
      </c>
      <c r="AC177" s="59">
        <f t="shared" si="2739"/>
        <v>100.34325386913601</v>
      </c>
      <c r="AD177" s="59"/>
      <c r="AE177" s="59"/>
      <c r="AF177" s="59">
        <v>42</v>
      </c>
      <c r="AG177" s="59">
        <f t="shared" si="2725"/>
        <v>42</v>
      </c>
      <c r="AH177" s="59">
        <f t="shared" si="2740"/>
        <v>70.807721179624707</v>
      </c>
      <c r="AI177" s="59">
        <v>0.93626254407377296</v>
      </c>
      <c r="AJ177" s="59">
        <f t="shared" si="2726"/>
        <v>0.93626254407377296</v>
      </c>
      <c r="AK177" s="59">
        <f t="shared" si="2741"/>
        <v>63.887656311650602</v>
      </c>
      <c r="AL177" s="338"/>
      <c r="AM177" s="59"/>
      <c r="AN177" s="59">
        <v>1000</v>
      </c>
      <c r="AO177" s="62"/>
      <c r="AP177" s="62"/>
      <c r="AQ177" s="59"/>
      <c r="AR177" s="59"/>
      <c r="AS177" s="59"/>
      <c r="AT177" s="189">
        <f>VLOOKUP(B:B,综合进度!B:N,13,0)</f>
        <v>2.61332790281384e-002</v>
      </c>
      <c r="AU177" s="59">
        <f t="shared" si="2742"/>
        <v>156.11968624851801</v>
      </c>
      <c r="AV177" s="59"/>
      <c r="AW177" s="59"/>
      <c r="AX177" s="59">
        <f t="shared" si="2743"/>
        <v>3283</v>
      </c>
      <c r="AY177" s="59">
        <v>14068</v>
      </c>
      <c r="AZ177" s="59">
        <f t="shared" si="2744"/>
        <v>13166.8526599493</v>
      </c>
      <c r="BA177" s="59">
        <f t="shared" si="2745"/>
        <v>-9883.8526599492998</v>
      </c>
      <c r="BB177" s="43">
        <f t="shared" si="2711"/>
        <v>-0.75066175001819702</v>
      </c>
      <c r="BC177" s="50">
        <v>497</v>
      </c>
      <c r="BD177" s="50">
        <f t="shared" si="2746"/>
        <v>-9386.8526599492998</v>
      </c>
      <c r="BE177" s="5">
        <f t="shared" si="2747"/>
        <v>9387</v>
      </c>
      <c r="BF177" s="341">
        <f t="shared" si="2748"/>
        <v>7150.6951912736204</v>
      </c>
      <c r="BG177" s="339"/>
    </row>
    <row r="178" s="5" customFormat="1" ht="17" customHeight="1">
      <c r="A178" s="65"/>
      <c r="B178" s="66" t="s">
        <v>217</v>
      </c>
      <c r="C178" s="67">
        <v>1</v>
      </c>
      <c r="D178" s="67"/>
      <c r="E178" s="67"/>
      <c r="F178" s="68"/>
      <c r="G178" s="69">
        <f t="shared" ref="G178:P178" si="2749">G179+G180</f>
        <v>68762</v>
      </c>
      <c r="H178" s="69">
        <f t="shared" si="2749"/>
        <v>59039.800000000003</v>
      </c>
      <c r="I178" s="69">
        <f t="shared" si="2749"/>
        <v>0</v>
      </c>
      <c r="J178" s="69">
        <f t="shared" si="2749"/>
        <v>0</v>
      </c>
      <c r="K178" s="69">
        <f t="shared" si="2749"/>
        <v>22768</v>
      </c>
      <c r="L178" s="69">
        <f t="shared" si="2749"/>
        <v>36271.800000000003</v>
      </c>
      <c r="M178" s="69">
        <f t="shared" si="2749"/>
        <v>0</v>
      </c>
      <c r="N178" s="69">
        <f t="shared" si="2749"/>
        <v>7219</v>
      </c>
      <c r="O178" s="69">
        <f t="shared" si="2749"/>
        <v>10729</v>
      </c>
      <c r="P178" s="69">
        <f t="shared" si="2749"/>
        <v>1367.4000000000001</v>
      </c>
      <c r="Q178" s="59">
        <v>2279</v>
      </c>
      <c r="R178" s="69">
        <f t="shared" ref="R178:V178" si="2750">R179+R180</f>
        <v>0</v>
      </c>
      <c r="S178" s="69">
        <f t="shared" si="2750"/>
        <v>0</v>
      </c>
      <c r="T178" s="69">
        <f t="shared" si="2750"/>
        <v>0</v>
      </c>
      <c r="U178" s="69">
        <f t="shared" si="2750"/>
        <v>928</v>
      </c>
      <c r="V178" s="69">
        <f t="shared" si="2750"/>
        <v>809.35421084504605</v>
      </c>
      <c r="W178" s="69"/>
      <c r="X178" s="69">
        <f t="shared" ref="X178:AC178" si="2751">X179+X180</f>
        <v>0.71935059109055699</v>
      </c>
      <c r="Y178" s="69">
        <f t="shared" si="2751"/>
        <v>2.8112969264259302</v>
      </c>
      <c r="Z178" s="69">
        <f t="shared" si="2751"/>
        <v>2.8112969264259302</v>
      </c>
      <c r="AA178" s="69">
        <f t="shared" si="2751"/>
        <v>222.713599070616</v>
      </c>
      <c r="AB178" s="69">
        <f t="shared" si="2751"/>
        <v>3291.7006999999999</v>
      </c>
      <c r="AC178" s="69">
        <f t="shared" si="2751"/>
        <v>41.529142573513496</v>
      </c>
      <c r="AD178" s="69"/>
      <c r="AE178" s="69"/>
      <c r="AF178" s="69">
        <f t="shared" ref="AF178:AK178" si="2752">AF179+AF180</f>
        <v>88</v>
      </c>
      <c r="AG178" s="59">
        <f t="shared" si="2752"/>
        <v>88</v>
      </c>
      <c r="AH178" s="59">
        <f t="shared" si="2752"/>
        <v>148.35903485254701</v>
      </c>
      <c r="AI178" s="69">
        <f t="shared" si="2752"/>
        <v>2.5154756971131902</v>
      </c>
      <c r="AJ178" s="59">
        <f t="shared" si="2752"/>
        <v>2.5154756971131902</v>
      </c>
      <c r="AK178" s="59">
        <f t="shared" si="2752"/>
        <v>171.64827089869601</v>
      </c>
      <c r="AL178" s="69"/>
      <c r="AM178" s="69"/>
      <c r="AN178" s="69">
        <f t="shared" ref="AN178:AU178" si="2753">AN179+AN180</f>
        <v>3000</v>
      </c>
      <c r="AO178" s="69"/>
      <c r="AP178" s="69"/>
      <c r="AQ178" s="69">
        <f t="shared" si="2753"/>
        <v>0</v>
      </c>
      <c r="AR178" s="69"/>
      <c r="AS178" s="69">
        <f t="shared" si="2753"/>
        <v>0</v>
      </c>
      <c r="AT178" s="403">
        <f t="shared" si="2753"/>
        <v>4.8360355877167402e-002</v>
      </c>
      <c r="AU178" s="69">
        <f t="shared" si="2753"/>
        <v>288.90379880308097</v>
      </c>
      <c r="AV178" s="69"/>
      <c r="AW178" s="71"/>
      <c r="AX178" s="69">
        <f t="shared" ref="AX178:BA178" si="2754">AX179+AX180</f>
        <v>4682</v>
      </c>
      <c r="AY178" s="69">
        <v>18766</v>
      </c>
      <c r="AZ178" s="69">
        <f t="shared" si="2754"/>
        <v>17563.915056625599</v>
      </c>
      <c r="BA178" s="69">
        <f t="shared" si="2754"/>
        <v>-12881.915056625599</v>
      </c>
      <c r="BB178" s="336">
        <f t="shared" si="2711"/>
        <v>-0.73343073085326604</v>
      </c>
      <c r="BC178" s="404">
        <v>919</v>
      </c>
      <c r="BD178" s="69">
        <f>BD179+BD180</f>
        <v>-11965.915056625599</v>
      </c>
      <c r="BG178" s="340"/>
    </row>
    <row r="179" s="5" customFormat="1" ht="17" customHeight="1">
      <c r="A179" s="44"/>
      <c r="B179" s="72" t="s">
        <v>218</v>
      </c>
      <c r="C179" s="46">
        <v>2</v>
      </c>
      <c r="D179" s="46"/>
      <c r="E179" s="46"/>
      <c r="F179" s="46"/>
      <c r="G179" s="73"/>
      <c r="H179" s="59">
        <f t="shared" ref="H179:H183" si="2755">SUM(I179:M179)</f>
        <v>0</v>
      </c>
      <c r="I179" s="59">
        <f t="shared" ref="I179:I183" si="2756">IF(D179="",G179*0.6,0)</f>
        <v>0</v>
      </c>
      <c r="J179" s="59">
        <f t="shared" ref="J179:J183" si="2757">IF(D179=2017,G179*0.7,0)</f>
        <v>0</v>
      </c>
      <c r="K179" s="59">
        <f t="shared" ref="K179:K183" si="2758">IF(D179=2018,G179*0.8,0)</f>
        <v>0</v>
      </c>
      <c r="L179" s="59">
        <f t="shared" ref="L179:L183" si="2759">IF(D179=2019,G179*0.9,0)</f>
        <v>0</v>
      </c>
      <c r="M179" s="59">
        <f t="shared" ref="M179:M183" si="2760">IF(D179=2020,G179*1,0)</f>
        <v>0</v>
      </c>
      <c r="N179" s="59"/>
      <c r="O179" s="59"/>
      <c r="P179" s="59">
        <f>L179*0.4+M179*0.6+N179*0.8+O179*1</f>
        <v>0</v>
      </c>
      <c r="Q179" s="59"/>
      <c r="R179" s="59"/>
      <c r="S179" s="59"/>
      <c r="T179" s="59"/>
      <c r="U179" s="59"/>
      <c r="V179" s="59">
        <f>H179/$H$9*134866+N179/$N$9*202299+P179/$P$9*100000+U179/$U$9*34867</f>
        <v>0</v>
      </c>
      <c r="W179" s="59"/>
      <c r="X179" s="62"/>
      <c r="Y179" s="62"/>
      <c r="Z179" s="62"/>
      <c r="AA179" s="59"/>
      <c r="AB179" s="59"/>
      <c r="AC179" s="59"/>
      <c r="AD179" s="59"/>
      <c r="AE179" s="59"/>
      <c r="AF179" s="59"/>
      <c r="AG179" s="59">
        <f t="shared" ref="AG179:AG183" si="2761">AF179</f>
        <v>0</v>
      </c>
      <c r="AH179" s="59">
        <f>AG179/$AG$9*40459.89</f>
        <v>0</v>
      </c>
      <c r="AI179" s="59"/>
      <c r="AJ179" s="59">
        <f t="shared" ref="AJ179:AJ183" si="2762">AI179</f>
        <v>0</v>
      </c>
      <c r="AK179" s="59">
        <f>AJ179/$AJ$9*40459.89</f>
        <v>0</v>
      </c>
      <c r="AL179" s="59"/>
      <c r="AM179" s="59"/>
      <c r="AN179" s="59"/>
      <c r="AO179" s="62"/>
      <c r="AP179" s="62"/>
      <c r="AQ179" s="59"/>
      <c r="AR179" s="59"/>
      <c r="AS179" s="59"/>
      <c r="AT179" s="189"/>
      <c r="AU179" s="59"/>
      <c r="AV179" s="59"/>
      <c r="AW179" s="59"/>
      <c r="AX179" s="59">
        <f>V179+AA179+AC179+AE179+AH179+AK179+AM179+AN179+AQ179+AS179+AU179+AW179</f>
        <v>0</v>
      </c>
      <c r="AY179" s="59"/>
      <c r="AZ179" s="170"/>
      <c r="BA179" s="50"/>
      <c r="BB179" s="43"/>
      <c r="BC179" s="50">
        <v>3</v>
      </c>
      <c r="BD179" s="50"/>
      <c r="BG179" s="340"/>
    </row>
    <row r="180" s="5" customFormat="1" ht="17" customHeight="1">
      <c r="A180" s="75"/>
      <c r="B180" s="76" t="s">
        <v>76</v>
      </c>
      <c r="C180" s="77">
        <v>3</v>
      </c>
      <c r="D180" s="77"/>
      <c r="E180" s="77"/>
      <c r="F180" s="78"/>
      <c r="G180" s="79">
        <f t="shared" ref="G180:P180" si="2763">SUM(G181:G183)</f>
        <v>68762</v>
      </c>
      <c r="H180" s="79">
        <f t="shared" si="2763"/>
        <v>59039.800000000003</v>
      </c>
      <c r="I180" s="79">
        <f t="shared" si="2763"/>
        <v>0</v>
      </c>
      <c r="J180" s="79">
        <f t="shared" si="2763"/>
        <v>0</v>
      </c>
      <c r="K180" s="79">
        <f t="shared" si="2763"/>
        <v>22768</v>
      </c>
      <c r="L180" s="79">
        <f t="shared" si="2763"/>
        <v>36271.800000000003</v>
      </c>
      <c r="M180" s="79">
        <f t="shared" si="2763"/>
        <v>0</v>
      </c>
      <c r="N180" s="79">
        <f t="shared" si="2763"/>
        <v>7219</v>
      </c>
      <c r="O180" s="79">
        <f t="shared" si="2763"/>
        <v>10729</v>
      </c>
      <c r="P180" s="79">
        <f t="shared" si="2763"/>
        <v>1367.4000000000001</v>
      </c>
      <c r="Q180" s="59">
        <v>2279</v>
      </c>
      <c r="R180" s="79">
        <f t="shared" ref="R180:V180" si="2764">SUM(R181:R183)</f>
        <v>0</v>
      </c>
      <c r="S180" s="79">
        <f t="shared" si="2764"/>
        <v>0</v>
      </c>
      <c r="T180" s="79">
        <f t="shared" si="2764"/>
        <v>0</v>
      </c>
      <c r="U180" s="79">
        <f t="shared" si="2764"/>
        <v>928</v>
      </c>
      <c r="V180" s="79">
        <f t="shared" si="2764"/>
        <v>809.35421084504605</v>
      </c>
      <c r="W180" s="79"/>
      <c r="X180" s="79">
        <f t="shared" ref="X180:AC180" si="2765">SUM(X181:X183)</f>
        <v>0.71935059109055699</v>
      </c>
      <c r="Y180" s="79">
        <f t="shared" si="2765"/>
        <v>2.8112969264259302</v>
      </c>
      <c r="Z180" s="79">
        <f t="shared" si="2765"/>
        <v>2.8112969264259302</v>
      </c>
      <c r="AA180" s="79">
        <f t="shared" si="2765"/>
        <v>222.713599070616</v>
      </c>
      <c r="AB180" s="79">
        <f t="shared" si="2765"/>
        <v>3291.7006999999999</v>
      </c>
      <c r="AC180" s="79">
        <f t="shared" si="2765"/>
        <v>41.529142573513496</v>
      </c>
      <c r="AD180" s="79"/>
      <c r="AE180" s="79"/>
      <c r="AF180" s="79">
        <f t="shared" ref="AF180:AK180" si="2766">SUM(AF181:AF183)</f>
        <v>88</v>
      </c>
      <c r="AG180" s="59">
        <f t="shared" si="2766"/>
        <v>88</v>
      </c>
      <c r="AH180" s="59">
        <f t="shared" si="2766"/>
        <v>148.35903485254701</v>
      </c>
      <c r="AI180" s="79">
        <f t="shared" si="2766"/>
        <v>2.5154756971131902</v>
      </c>
      <c r="AJ180" s="59">
        <f t="shared" si="2766"/>
        <v>2.5154756971131902</v>
      </c>
      <c r="AK180" s="59">
        <f t="shared" si="2766"/>
        <v>171.64827089869601</v>
      </c>
      <c r="AL180" s="79"/>
      <c r="AM180" s="79"/>
      <c r="AN180" s="79">
        <f t="shared" ref="AN180:AU180" si="2767">SUM(AN181:AN183)</f>
        <v>3000</v>
      </c>
      <c r="AO180" s="79"/>
      <c r="AP180" s="79"/>
      <c r="AQ180" s="79">
        <f t="shared" si="2767"/>
        <v>0</v>
      </c>
      <c r="AR180" s="79"/>
      <c r="AS180" s="79">
        <f t="shared" si="2767"/>
        <v>0</v>
      </c>
      <c r="AT180" s="405">
        <f t="shared" si="2767"/>
        <v>4.8360355877167402e-002</v>
      </c>
      <c r="AU180" s="79">
        <f t="shared" si="2767"/>
        <v>288.90379880308097</v>
      </c>
      <c r="AV180" s="79"/>
      <c r="AW180" s="81"/>
      <c r="AX180" s="79">
        <f t="shared" ref="AX180:BA180" si="2768">SUM(AX181:AX183)</f>
        <v>4682</v>
      </c>
      <c r="AY180" s="79">
        <v>18766</v>
      </c>
      <c r="AZ180" s="79">
        <f t="shared" si="2768"/>
        <v>17563.915056625599</v>
      </c>
      <c r="BA180" s="79">
        <f t="shared" si="2768"/>
        <v>-12881.915056625599</v>
      </c>
      <c r="BB180" s="337">
        <f t="shared" si="2711"/>
        <v>-0.73343073085326604</v>
      </c>
      <c r="BC180" s="406">
        <v>916</v>
      </c>
      <c r="BD180" s="79">
        <f>SUM(BD181:BD183)</f>
        <v>-11965.915056625599</v>
      </c>
      <c r="BG180" s="340"/>
    </row>
    <row r="181" ht="17" customHeight="1">
      <c r="A181" s="46">
        <v>119</v>
      </c>
      <c r="B181" s="82" t="s">
        <v>219</v>
      </c>
      <c r="C181" s="46" t="s">
        <v>93</v>
      </c>
      <c r="D181" s="46">
        <v>2018</v>
      </c>
      <c r="E181" s="46" t="s">
        <v>94</v>
      </c>
      <c r="F181" s="46"/>
      <c r="G181" s="73">
        <v>16714</v>
      </c>
      <c r="H181" s="59">
        <f t="shared" si="2755"/>
        <v>13371.200000000001</v>
      </c>
      <c r="I181" s="59">
        <f t="shared" si="2756"/>
        <v>0</v>
      </c>
      <c r="J181" s="59">
        <f t="shared" si="2757"/>
        <v>0</v>
      </c>
      <c r="K181" s="59">
        <f t="shared" si="2758"/>
        <v>13371.200000000001</v>
      </c>
      <c r="L181" s="59">
        <f t="shared" si="2759"/>
        <v>0</v>
      </c>
      <c r="M181" s="59">
        <f t="shared" si="2760"/>
        <v>0</v>
      </c>
      <c r="N181" s="59">
        <v>1119</v>
      </c>
      <c r="O181" s="59">
        <v>2321</v>
      </c>
      <c r="P181" s="59">
        <f t="shared" ref="P181:P183" si="2769">Q181*0.6+R181*0.8+S181*1+T181*1.25</f>
        <v>0</v>
      </c>
      <c r="Q181" s="59"/>
      <c r="R181" s="59"/>
      <c r="S181" s="59"/>
      <c r="T181" s="59"/>
      <c r="U181" s="59">
        <v>493</v>
      </c>
      <c r="V181" s="59">
        <f t="shared" ref="V181:V183" si="2770">H181/$H$9*298699*0.12+N181/$N$9*298699*0.15+P181/$P$9*298699*0.035+U181/$U$9*298699*0.025</f>
        <v>164.70971926329099</v>
      </c>
      <c r="W181" s="59">
        <v>15432.809999999999</v>
      </c>
      <c r="X181" s="62">
        <f t="shared" ref="X181:X183" si="2771">($W$64-W181)/($W$64-$W$44)</f>
        <v>3.6425572291198201e-002</v>
      </c>
      <c r="Y181" s="62">
        <f t="shared" ref="Y181:Y183" si="2772">(G181+N181)*X181/10000</f>
        <v>6.4957723066893805e-002</v>
      </c>
      <c r="Z181" s="62">
        <f t="shared" ref="Z181:Z183" si="2773">Y181*1</f>
        <v>6.4957723066893805e-002</v>
      </c>
      <c r="AA181" s="59">
        <f t="shared" ref="AA181:AA183" si="2774">Z181/$Z$9*298699*0.12</f>
        <v>5.1460122037171301</v>
      </c>
      <c r="AB181" s="59">
        <v>684.5</v>
      </c>
      <c r="AC181" s="59">
        <f t="shared" ref="AC181:AC183" si="2775">(AB181/$AB$9*298699*0.03)</f>
        <v>8.6358696255616394</v>
      </c>
      <c r="AD181" s="59"/>
      <c r="AE181" s="59"/>
      <c r="AF181" s="59">
        <v>28</v>
      </c>
      <c r="AG181" s="59">
        <f t="shared" si="2761"/>
        <v>28</v>
      </c>
      <c r="AH181" s="59">
        <f t="shared" ref="AH181:AH183" si="2776">AG181/$AG$9*298699*0.02</f>
        <v>47.2051474530831</v>
      </c>
      <c r="AI181" s="59">
        <v>1</v>
      </c>
      <c r="AJ181" s="59">
        <f t="shared" si="2762"/>
        <v>1</v>
      </c>
      <c r="AK181" s="59">
        <f t="shared" ref="AK181:AK183" si="2777">AJ181/$AJ$9*298699*0.02</f>
        <v>68.236902902970996</v>
      </c>
      <c r="AL181" s="338"/>
      <c r="AM181" s="59"/>
      <c r="AN181" s="59">
        <v>1000</v>
      </c>
      <c r="AO181" s="62"/>
      <c r="AP181" s="62"/>
      <c r="AQ181" s="59"/>
      <c r="AR181" s="59"/>
      <c r="AS181" s="59"/>
      <c r="AT181" s="189">
        <f>VLOOKUP(B:B,综合进度!B:N,13,0)</f>
        <v>1.29663814979052e-002</v>
      </c>
      <c r="AU181" s="59">
        <f t="shared" ref="AU181:AU183" si="2778">AT181/$AT$9*298699*0.02</f>
        <v>77.460903740855898</v>
      </c>
      <c r="AV181" s="59"/>
      <c r="AW181" s="59"/>
      <c r="AX181" s="59">
        <f t="shared" ref="AX181:AX183" si="2779">ROUND(V181+AA181+AC181+AN181+AQ181+AS181+AU181+AW181+AH181+AK181,0)</f>
        <v>1371</v>
      </c>
      <c r="AY181" s="59">
        <v>7627</v>
      </c>
      <c r="AZ181" s="59">
        <f t="shared" ref="AZ181:AZ183" si="2780">AY181/$AY$9*280243</f>
        <v>7138.4408044806196</v>
      </c>
      <c r="BA181" s="59">
        <f t="shared" ref="BA181:BA183" si="2781">AX181-AZ181</f>
        <v>-5767.4408044806196</v>
      </c>
      <c r="BB181" s="43">
        <f t="shared" si="2711"/>
        <v>-0.80794125250160298</v>
      </c>
      <c r="BC181" s="50">
        <v>290</v>
      </c>
      <c r="BD181" s="50">
        <f t="shared" ref="BD181:BD183" si="2782">BC181+BA181</f>
        <v>-5477.4408044806196</v>
      </c>
      <c r="BE181" s="5">
        <f t="shared" si="2747"/>
        <v>5477</v>
      </c>
      <c r="BF181" s="341">
        <f t="shared" si="2748"/>
        <v>4172.1910687765703</v>
      </c>
      <c r="BG181" s="339"/>
    </row>
    <row r="182" ht="17" customHeight="1">
      <c r="A182" s="46">
        <v>120</v>
      </c>
      <c r="B182" s="82" t="s">
        <v>221</v>
      </c>
      <c r="C182" s="46" t="s">
        <v>93</v>
      </c>
      <c r="D182" s="46">
        <v>2019</v>
      </c>
      <c r="E182" s="46" t="s">
        <v>94</v>
      </c>
      <c r="F182" s="46"/>
      <c r="G182" s="73">
        <v>40302</v>
      </c>
      <c r="H182" s="59">
        <f t="shared" si="2755"/>
        <v>36271.800000000003</v>
      </c>
      <c r="I182" s="59">
        <f t="shared" si="2756"/>
        <v>0</v>
      </c>
      <c r="J182" s="59">
        <f t="shared" si="2757"/>
        <v>0</v>
      </c>
      <c r="K182" s="59">
        <f t="shared" si="2758"/>
        <v>0</v>
      </c>
      <c r="L182" s="59">
        <f t="shared" si="2759"/>
        <v>36271.800000000003</v>
      </c>
      <c r="M182" s="59">
        <f t="shared" si="2760"/>
        <v>0</v>
      </c>
      <c r="N182" s="59">
        <v>4931</v>
      </c>
      <c r="O182" s="59">
        <v>5324</v>
      </c>
      <c r="P182" s="59">
        <f t="shared" si="2769"/>
        <v>1367.4000000000001</v>
      </c>
      <c r="Q182" s="59">
        <v>2279</v>
      </c>
      <c r="R182" s="59"/>
      <c r="S182" s="59"/>
      <c r="T182" s="59"/>
      <c r="U182" s="59">
        <v>256</v>
      </c>
      <c r="V182" s="59">
        <f t="shared" si="2770"/>
        <v>518.25789912482196</v>
      </c>
      <c r="W182" s="59">
        <v>12083.639999999999</v>
      </c>
      <c r="X182" s="62">
        <f t="shared" si="2771"/>
        <v>0.57687404591239</v>
      </c>
      <c r="Y182" s="62">
        <f t="shared" si="2772"/>
        <v>2.6093743718755098</v>
      </c>
      <c r="Z182" s="62">
        <f t="shared" si="2773"/>
        <v>2.6093743718755098</v>
      </c>
      <c r="AA182" s="59">
        <f t="shared" si="2774"/>
        <v>206.71710349068201</v>
      </c>
      <c r="AB182" s="59">
        <v>1210.5007000000001</v>
      </c>
      <c r="AC182" s="59">
        <f t="shared" si="2775"/>
        <v>15.2720616900674</v>
      </c>
      <c r="AD182" s="59"/>
      <c r="AE182" s="59"/>
      <c r="AF182" s="59">
        <v>39</v>
      </c>
      <c r="AG182" s="59">
        <f t="shared" si="2761"/>
        <v>39</v>
      </c>
      <c r="AH182" s="59">
        <f t="shared" si="2776"/>
        <v>65.750026809651501</v>
      </c>
      <c r="AI182" s="59">
        <v>0.52120020516327603</v>
      </c>
      <c r="AJ182" s="59">
        <f t="shared" si="2762"/>
        <v>0.52120020516327603</v>
      </c>
      <c r="AK182" s="59">
        <f t="shared" si="2777"/>
        <v>35.565087792735</v>
      </c>
      <c r="AL182" s="338"/>
      <c r="AM182" s="59"/>
      <c r="AN182" s="59">
        <v>1000</v>
      </c>
      <c r="AO182" s="62"/>
      <c r="AP182" s="62"/>
      <c r="AQ182" s="59"/>
      <c r="AR182" s="59"/>
      <c r="AS182" s="59"/>
      <c r="AT182" s="189">
        <f>VLOOKUP(B:B,综合进度!B:N,13,0)</f>
        <v>2.33353650440076e-002</v>
      </c>
      <c r="AU182" s="59">
        <f t="shared" si="2778"/>
        <v>139.4050040656</v>
      </c>
      <c r="AV182" s="59"/>
      <c r="AW182" s="59"/>
      <c r="AX182" s="59">
        <f t="shared" si="2779"/>
        <v>1981</v>
      </c>
      <c r="AY182" s="59">
        <v>6687</v>
      </c>
      <c r="AZ182" s="59">
        <f t="shared" si="2780"/>
        <v>6258.6539477595197</v>
      </c>
      <c r="BA182" s="59">
        <f t="shared" si="2781"/>
        <v>-4277.6539477595197</v>
      </c>
      <c r="BB182" s="43">
        <f t="shared" si="2711"/>
        <v>-0.68347826600811501</v>
      </c>
      <c r="BC182" s="50">
        <v>204</v>
      </c>
      <c r="BD182" s="50">
        <f t="shared" si="2782"/>
        <v>-4073.6539477595202</v>
      </c>
      <c r="BE182" s="5">
        <f t="shared" si="2747"/>
        <v>4074</v>
      </c>
      <c r="BF182" s="341">
        <f t="shared" si="2748"/>
        <v>3103.43370717468</v>
      </c>
      <c r="BG182" s="339"/>
    </row>
    <row r="183" ht="17" customHeight="1">
      <c r="A183" s="46">
        <v>121</v>
      </c>
      <c r="B183" s="82" t="s">
        <v>220</v>
      </c>
      <c r="C183" s="46" t="s">
        <v>93</v>
      </c>
      <c r="D183" s="46">
        <v>2018</v>
      </c>
      <c r="E183" s="46" t="s">
        <v>94</v>
      </c>
      <c r="F183" s="46"/>
      <c r="G183" s="73">
        <v>11746</v>
      </c>
      <c r="H183" s="59">
        <f t="shared" si="2755"/>
        <v>9396.7999999999993</v>
      </c>
      <c r="I183" s="59">
        <f t="shared" si="2756"/>
        <v>0</v>
      </c>
      <c r="J183" s="59">
        <f t="shared" si="2757"/>
        <v>0</v>
      </c>
      <c r="K183" s="59">
        <f t="shared" si="2758"/>
        <v>9396.7999999999993</v>
      </c>
      <c r="L183" s="59">
        <f t="shared" si="2759"/>
        <v>0</v>
      </c>
      <c r="M183" s="59">
        <f t="shared" si="2760"/>
        <v>0</v>
      </c>
      <c r="N183" s="59">
        <v>1169</v>
      </c>
      <c r="O183" s="59">
        <v>3084</v>
      </c>
      <c r="P183" s="59">
        <f t="shared" si="2769"/>
        <v>0</v>
      </c>
      <c r="Q183" s="59"/>
      <c r="R183" s="59"/>
      <c r="S183" s="59"/>
      <c r="T183" s="59"/>
      <c r="U183" s="59">
        <v>179</v>
      </c>
      <c r="V183" s="59">
        <f t="shared" si="2770"/>
        <v>126.386592456933</v>
      </c>
      <c r="W183" s="59">
        <v>15001.34</v>
      </c>
      <c r="X183" s="62">
        <f t="shared" si="2771"/>
        <v>0.10605097288696801</v>
      </c>
      <c r="Y183" s="62">
        <f t="shared" si="2772"/>
        <v>0.13696483148352001</v>
      </c>
      <c r="Z183" s="62">
        <f t="shared" si="2773"/>
        <v>0.13696483148352001</v>
      </c>
      <c r="AA183" s="59">
        <f t="shared" si="2774"/>
        <v>10.8504833762172</v>
      </c>
      <c r="AB183" s="59">
        <v>1396.7</v>
      </c>
      <c r="AC183" s="59">
        <f t="shared" si="2775"/>
        <v>17.6212112578845</v>
      </c>
      <c r="AD183" s="59"/>
      <c r="AE183" s="59"/>
      <c r="AF183" s="59">
        <v>21</v>
      </c>
      <c r="AG183" s="59">
        <f t="shared" si="2761"/>
        <v>21</v>
      </c>
      <c r="AH183" s="59">
        <f t="shared" si="2776"/>
        <v>35.403860589812297</v>
      </c>
      <c r="AI183" s="59">
        <v>0.99427549194991105</v>
      </c>
      <c r="AJ183" s="59">
        <f t="shared" si="2762"/>
        <v>0.99427549194991105</v>
      </c>
      <c r="AK183" s="59">
        <f t="shared" si="2777"/>
        <v>67.846280202989803</v>
      </c>
      <c r="AL183" s="338"/>
      <c r="AM183" s="59"/>
      <c r="AN183" s="59">
        <v>1000</v>
      </c>
      <c r="AO183" s="62"/>
      <c r="AP183" s="62"/>
      <c r="AQ183" s="59"/>
      <c r="AR183" s="59"/>
      <c r="AS183" s="59"/>
      <c r="AT183" s="189">
        <f>VLOOKUP(B:B,综合进度!B:N,13,0)</f>
        <v>1.20586093352547e-002</v>
      </c>
      <c r="AU183" s="59">
        <f t="shared" si="2778"/>
        <v>72.037890996624597</v>
      </c>
      <c r="AV183" s="59"/>
      <c r="AW183" s="59"/>
      <c r="AX183" s="59">
        <f t="shared" si="2779"/>
        <v>1330</v>
      </c>
      <c r="AY183" s="59">
        <v>4452</v>
      </c>
      <c r="AZ183" s="59">
        <f t="shared" si="2780"/>
        <v>4166.8203043854301</v>
      </c>
      <c r="BA183" s="59">
        <f t="shared" si="2781"/>
        <v>-2836.8203043854301</v>
      </c>
      <c r="BB183" s="43">
        <f t="shared" si="2711"/>
        <v>-0.68081176944438404</v>
      </c>
      <c r="BC183" s="50">
        <v>422</v>
      </c>
      <c r="BD183" s="50">
        <f t="shared" si="2782"/>
        <v>-2414.8203043854301</v>
      </c>
      <c r="BE183" s="5">
        <f t="shared" si="2747"/>
        <v>2415</v>
      </c>
      <c r="BF183" s="341">
        <f t="shared" si="2748"/>
        <v>1839.6643109540601</v>
      </c>
      <c r="BG183" s="339"/>
    </row>
    <row r="184" s="5" customFormat="1" ht="17" customHeight="1">
      <c r="A184" s="65"/>
      <c r="B184" s="66" t="s">
        <v>222</v>
      </c>
      <c r="C184" s="67">
        <v>1</v>
      </c>
      <c r="D184" s="67"/>
      <c r="E184" s="67"/>
      <c r="F184" s="68"/>
      <c r="G184" s="69">
        <f t="shared" ref="G184:P184" si="2783">G185+G186</f>
        <v>332572</v>
      </c>
      <c r="H184" s="69">
        <f t="shared" si="2783"/>
        <v>266580.20000000001</v>
      </c>
      <c r="I184" s="69">
        <f t="shared" si="2783"/>
        <v>0</v>
      </c>
      <c r="J184" s="69">
        <f t="shared" si="2783"/>
        <v>29764.700000000001</v>
      </c>
      <c r="K184" s="69">
        <f t="shared" si="2783"/>
        <v>193843.20000000001</v>
      </c>
      <c r="L184" s="69">
        <f t="shared" si="2783"/>
        <v>42972.300000000003</v>
      </c>
      <c r="M184" s="69">
        <f t="shared" si="2783"/>
        <v>0</v>
      </c>
      <c r="N184" s="69">
        <f t="shared" si="2783"/>
        <v>38323</v>
      </c>
      <c r="O184" s="69">
        <f t="shared" si="2783"/>
        <v>21233</v>
      </c>
      <c r="P184" s="69">
        <f t="shared" si="2783"/>
        <v>0</v>
      </c>
      <c r="Q184" s="59">
        <v>0</v>
      </c>
      <c r="R184" s="69">
        <f t="shared" ref="R184:V184" si="2784">R185+R186</f>
        <v>0</v>
      </c>
      <c r="S184" s="69">
        <f t="shared" si="2784"/>
        <v>0</v>
      </c>
      <c r="T184" s="69">
        <f t="shared" si="2784"/>
        <v>0</v>
      </c>
      <c r="U184" s="69">
        <f t="shared" si="2784"/>
        <v>5669</v>
      </c>
      <c r="V184" s="69">
        <f t="shared" si="2784"/>
        <v>3873.1616597748798</v>
      </c>
      <c r="W184" s="69"/>
      <c r="X184" s="69">
        <f t="shared" ref="X184:AC184" si="2785">X185+X186</f>
        <v>4.8279285850295803</v>
      </c>
      <c r="Y184" s="69">
        <f t="shared" si="2785"/>
        <v>22.550560991250599</v>
      </c>
      <c r="Z184" s="69">
        <f t="shared" si="2785"/>
        <v>16.799945298708099</v>
      </c>
      <c r="AA184" s="69">
        <f t="shared" si="2785"/>
        <v>1330.9075418161201</v>
      </c>
      <c r="AB184" s="69">
        <f t="shared" si="2785"/>
        <v>11356.93</v>
      </c>
      <c r="AC184" s="69">
        <f t="shared" si="2785"/>
        <v>143.28263962984599</v>
      </c>
      <c r="AD184" s="69"/>
      <c r="AE184" s="69"/>
      <c r="AF184" s="69">
        <f t="shared" ref="AF184:AK184" si="2786">AF185+AF186</f>
        <v>352</v>
      </c>
      <c r="AG184" s="59">
        <f t="shared" si="2786"/>
        <v>352</v>
      </c>
      <c r="AH184" s="59">
        <f t="shared" si="2786"/>
        <v>593.43613941018805</v>
      </c>
      <c r="AI184" s="69">
        <f t="shared" si="2786"/>
        <v>8</v>
      </c>
      <c r="AJ184" s="59">
        <f t="shared" si="2786"/>
        <v>8</v>
      </c>
      <c r="AK184" s="59">
        <f t="shared" si="2786"/>
        <v>545.89522322376797</v>
      </c>
      <c r="AL184" s="69"/>
      <c r="AM184" s="69"/>
      <c r="AN184" s="69">
        <f t="shared" ref="AN184:AU184" si="2787">AN185+AN186</f>
        <v>6000</v>
      </c>
      <c r="AO184" s="69"/>
      <c r="AP184" s="69"/>
      <c r="AQ184" s="69">
        <f t="shared" si="2787"/>
        <v>0</v>
      </c>
      <c r="AR184" s="69"/>
      <c r="AS184" s="69">
        <f t="shared" si="2787"/>
        <v>0</v>
      </c>
      <c r="AT184" s="403">
        <f t="shared" si="2787"/>
        <v>4.9615536329593299e-002</v>
      </c>
      <c r="AU184" s="69">
        <f t="shared" si="2787"/>
        <v>296.40222172226299</v>
      </c>
      <c r="AV184" s="69"/>
      <c r="AW184" s="71"/>
      <c r="AX184" s="69">
        <f t="shared" ref="AX184:BA184" si="2788">AX185+AX186</f>
        <v>12782</v>
      </c>
      <c r="AY184" s="69">
        <v>10517</v>
      </c>
      <c r="AZ184" s="69">
        <f t="shared" si="2788"/>
        <v>9843.3174171656792</v>
      </c>
      <c r="BA184" s="69">
        <f t="shared" si="2788"/>
        <v>2938.6825828343199</v>
      </c>
      <c r="BB184" s="336">
        <f t="shared" si="2711"/>
        <v>0.29854595339063</v>
      </c>
      <c r="BC184" s="404">
        <v>-7314</v>
      </c>
      <c r="BD184" s="69">
        <f>BD185+BD186</f>
        <v>-4376.3174171656801</v>
      </c>
    </row>
    <row r="185" s="5" customFormat="1" ht="17" customHeight="1">
      <c r="A185" s="44"/>
      <c r="B185" s="72" t="s">
        <v>223</v>
      </c>
      <c r="C185" s="46">
        <v>2</v>
      </c>
      <c r="D185" s="46"/>
      <c r="E185" s="46"/>
      <c r="F185" s="46"/>
      <c r="G185" s="73"/>
      <c r="H185" s="59">
        <f t="shared" ref="H185:H194" si="2789">SUM(I185:M185)</f>
        <v>0</v>
      </c>
      <c r="I185" s="59">
        <f t="shared" ref="I185:I194" si="2790">IF(D185="",G185*0.6,0)</f>
        <v>0</v>
      </c>
      <c r="J185" s="59">
        <f t="shared" ref="J185:J194" si="2791">IF(D185=2017,G185*0.7,0)</f>
        <v>0</v>
      </c>
      <c r="K185" s="59">
        <f t="shared" ref="K185:K194" si="2792">IF(D185=2018,G185*0.8,0)</f>
        <v>0</v>
      </c>
      <c r="L185" s="59">
        <f t="shared" ref="L185:L194" si="2793">IF(D185=2019,G185*0.9,0)</f>
        <v>0</v>
      </c>
      <c r="M185" s="59">
        <f t="shared" ref="M185:M194" si="2794">IF(D185=2020,G185*1,0)</f>
        <v>0</v>
      </c>
      <c r="N185" s="59"/>
      <c r="O185" s="59"/>
      <c r="P185" s="59">
        <f>L185*0.4+M185*0.6+N185*0.8+O185*1</f>
        <v>0</v>
      </c>
      <c r="Q185" s="59"/>
      <c r="R185" s="59"/>
      <c r="S185" s="59"/>
      <c r="T185" s="59"/>
      <c r="U185" s="59"/>
      <c r="V185" s="59">
        <f>H185/$H$9*134866+N185/$N$9*202299+P185/$P$9*100000+U185/$U$9*34867</f>
        <v>0</v>
      </c>
      <c r="W185" s="59"/>
      <c r="X185" s="62"/>
      <c r="Y185" s="62"/>
      <c r="Z185" s="62"/>
      <c r="AA185" s="59"/>
      <c r="AB185" s="59"/>
      <c r="AC185" s="59"/>
      <c r="AD185" s="59"/>
      <c r="AE185" s="59"/>
      <c r="AF185" s="59"/>
      <c r="AG185" s="59">
        <f t="shared" ref="AG185:AG194" si="2795">AF185</f>
        <v>0</v>
      </c>
      <c r="AH185" s="59">
        <f>AG185/$AG$9*40459.89</f>
        <v>0</v>
      </c>
      <c r="AI185" s="59"/>
      <c r="AJ185" s="59">
        <f t="shared" ref="AJ185:AJ194" si="2796">AI185</f>
        <v>0</v>
      </c>
      <c r="AK185" s="59">
        <f>AJ185/$AJ$9*40459.89</f>
        <v>0</v>
      </c>
      <c r="AL185" s="59"/>
      <c r="AM185" s="59"/>
      <c r="AN185" s="59"/>
      <c r="AO185" s="62"/>
      <c r="AP185" s="62"/>
      <c r="AQ185" s="59"/>
      <c r="AR185" s="59"/>
      <c r="AS185" s="59"/>
      <c r="AT185" s="189"/>
      <c r="AU185" s="59"/>
      <c r="AV185" s="59"/>
      <c r="AW185" s="59"/>
      <c r="AX185" s="59">
        <f>V185+AA185+AC185+AE185+AH185+AK185+AM185+AN185+AQ185+AS185+AU185+AW185</f>
        <v>0</v>
      </c>
      <c r="AY185" s="59"/>
      <c r="AZ185" s="170"/>
      <c r="BA185" s="50"/>
      <c r="BB185" s="43"/>
      <c r="BC185" s="50">
        <v>1</v>
      </c>
      <c r="BD185" s="50"/>
    </row>
    <row r="186" s="5" customFormat="1" ht="17" customHeight="1">
      <c r="A186" s="75"/>
      <c r="B186" s="76" t="s">
        <v>76</v>
      </c>
      <c r="C186" s="77">
        <v>3</v>
      </c>
      <c r="D186" s="77"/>
      <c r="E186" s="77"/>
      <c r="F186" s="78"/>
      <c r="G186" s="79">
        <f t="shared" ref="G186:P186" si="2797">SUM(G187:G194)</f>
        <v>332572</v>
      </c>
      <c r="H186" s="79">
        <f t="shared" si="2797"/>
        <v>266580.20000000001</v>
      </c>
      <c r="I186" s="79">
        <f t="shared" si="2797"/>
        <v>0</v>
      </c>
      <c r="J186" s="79">
        <f t="shared" si="2797"/>
        <v>29764.700000000001</v>
      </c>
      <c r="K186" s="79">
        <f t="shared" si="2797"/>
        <v>193843.20000000001</v>
      </c>
      <c r="L186" s="79">
        <f t="shared" si="2797"/>
        <v>42972.300000000003</v>
      </c>
      <c r="M186" s="79">
        <f t="shared" si="2797"/>
        <v>0</v>
      </c>
      <c r="N186" s="79">
        <f t="shared" si="2797"/>
        <v>38323</v>
      </c>
      <c r="O186" s="79">
        <f t="shared" si="2797"/>
        <v>21233</v>
      </c>
      <c r="P186" s="79">
        <f t="shared" si="2797"/>
        <v>0</v>
      </c>
      <c r="Q186" s="59">
        <v>0</v>
      </c>
      <c r="R186" s="79">
        <f t="shared" ref="R186:V186" si="2798">SUM(R187:R194)</f>
        <v>0</v>
      </c>
      <c r="S186" s="79">
        <f t="shared" si="2798"/>
        <v>0</v>
      </c>
      <c r="T186" s="79">
        <f t="shared" si="2798"/>
        <v>0</v>
      </c>
      <c r="U186" s="79">
        <f t="shared" si="2798"/>
        <v>5669</v>
      </c>
      <c r="V186" s="79">
        <f t="shared" si="2798"/>
        <v>3873.1616597748798</v>
      </c>
      <c r="W186" s="79"/>
      <c r="X186" s="79">
        <f t="shared" ref="X186:AC186" si="2799">SUM(X187:X194)</f>
        <v>4.8279285850295803</v>
      </c>
      <c r="Y186" s="79">
        <f t="shared" si="2799"/>
        <v>22.550560991250599</v>
      </c>
      <c r="Z186" s="79">
        <f t="shared" si="2799"/>
        <v>16.799945298708099</v>
      </c>
      <c r="AA186" s="79">
        <f t="shared" si="2799"/>
        <v>1330.9075418161201</v>
      </c>
      <c r="AB186" s="79">
        <f t="shared" si="2799"/>
        <v>11356.93</v>
      </c>
      <c r="AC186" s="79">
        <f t="shared" si="2799"/>
        <v>143.28263962984599</v>
      </c>
      <c r="AD186" s="79"/>
      <c r="AE186" s="79"/>
      <c r="AF186" s="79">
        <f t="shared" ref="AF186:AK186" si="2800">SUM(AF187:AF194)</f>
        <v>352</v>
      </c>
      <c r="AG186" s="59">
        <f t="shared" si="2800"/>
        <v>352</v>
      </c>
      <c r="AH186" s="59">
        <f t="shared" si="2800"/>
        <v>593.43613941018805</v>
      </c>
      <c r="AI186" s="79">
        <f t="shared" si="2800"/>
        <v>8</v>
      </c>
      <c r="AJ186" s="59">
        <f t="shared" si="2800"/>
        <v>8</v>
      </c>
      <c r="AK186" s="59">
        <f t="shared" si="2800"/>
        <v>545.89522322376797</v>
      </c>
      <c r="AL186" s="79"/>
      <c r="AM186" s="79"/>
      <c r="AN186" s="79">
        <f t="shared" ref="AN186:AU186" si="2801">SUM(AN187:AN194)</f>
        <v>6000</v>
      </c>
      <c r="AO186" s="79"/>
      <c r="AP186" s="79"/>
      <c r="AQ186" s="79">
        <f t="shared" si="2801"/>
        <v>0</v>
      </c>
      <c r="AR186" s="79"/>
      <c r="AS186" s="79">
        <f t="shared" si="2801"/>
        <v>0</v>
      </c>
      <c r="AT186" s="405">
        <f t="shared" si="2801"/>
        <v>4.9615536329593299e-002</v>
      </c>
      <c r="AU186" s="79">
        <f t="shared" si="2801"/>
        <v>296.40222172226299</v>
      </c>
      <c r="AV186" s="79"/>
      <c r="AW186" s="81"/>
      <c r="AX186" s="79">
        <f t="shared" ref="AX186:BA186" si="2802">SUM(AX187:AX194)</f>
        <v>12782</v>
      </c>
      <c r="AY186" s="79">
        <v>10517</v>
      </c>
      <c r="AZ186" s="79">
        <f t="shared" si="2802"/>
        <v>9843.3174171656792</v>
      </c>
      <c r="BA186" s="79">
        <f t="shared" si="2802"/>
        <v>2938.6825828343199</v>
      </c>
      <c r="BB186" s="337">
        <f t="shared" si="2711"/>
        <v>0.29854595339063</v>
      </c>
      <c r="BC186" s="406">
        <v>-7315</v>
      </c>
      <c r="BD186" s="79">
        <f>SUM(BD187:BD194)</f>
        <v>-4376.3174171656801</v>
      </c>
    </row>
    <row r="187" ht="17" customHeight="1">
      <c r="A187" s="46">
        <v>122</v>
      </c>
      <c r="B187" s="82" t="s">
        <v>225</v>
      </c>
      <c r="C187" s="46" t="s">
        <v>90</v>
      </c>
      <c r="D187" s="46">
        <v>2018</v>
      </c>
      <c r="E187" s="46" t="s">
        <v>91</v>
      </c>
      <c r="F187" s="46"/>
      <c r="G187" s="73">
        <v>67610</v>
      </c>
      <c r="H187" s="59">
        <f t="shared" si="2789"/>
        <v>54088</v>
      </c>
      <c r="I187" s="59">
        <f t="shared" si="2790"/>
        <v>0</v>
      </c>
      <c r="J187" s="59">
        <f t="shared" si="2791"/>
        <v>0</v>
      </c>
      <c r="K187" s="59">
        <f t="shared" si="2792"/>
        <v>54088</v>
      </c>
      <c r="L187" s="59">
        <f t="shared" si="2793"/>
        <v>0</v>
      </c>
      <c r="M187" s="59">
        <f t="shared" si="2794"/>
        <v>0</v>
      </c>
      <c r="N187" s="59">
        <v>7366</v>
      </c>
      <c r="O187" s="59">
        <v>3875</v>
      </c>
      <c r="P187" s="59">
        <f t="shared" ref="P187:P194" si="2803">Q187*0.6+R187*0.8+S187*1+T187*1.25</f>
        <v>0</v>
      </c>
      <c r="Q187" s="59"/>
      <c r="R187" s="59"/>
      <c r="S187" s="59"/>
      <c r="T187" s="59"/>
      <c r="U187" s="59">
        <v>1831</v>
      </c>
      <c r="V187" s="59">
        <f t="shared" ref="V187:V194" si="2804">H187/$H$9*298699*0.12+N187/$N$9*298699*0.15+P187/$P$9*298699*0.035+U187/$U$9*298699*0.025</f>
        <v>799.85869505475398</v>
      </c>
      <c r="W187" s="59">
        <v>11668.25</v>
      </c>
      <c r="X187" s="62">
        <f t="shared" ref="X187:X194" si="2805">($W$64-W187)/($W$64-$W$44)</f>
        <v>0.64390465094513205</v>
      </c>
      <c r="Y187" s="62">
        <f t="shared" ref="Y187:Y194" si="2806">(G187+N187)*X187/10000</f>
        <v>4.8277395109262198</v>
      </c>
      <c r="Z187" s="62">
        <f>Y187*1</f>
        <v>4.8277395109262198</v>
      </c>
      <c r="AA187" s="59">
        <f t="shared" ref="AA187:AA194" si="2807">Z187/$Z$9*298699*0.12</f>
        <v>382.45808606945201</v>
      </c>
      <c r="AB187" s="59">
        <v>2063.2800000000002</v>
      </c>
      <c r="AC187" s="59">
        <f t="shared" ref="AC187:AC194" si="2808">(AB187/$AB$9*298699*0.03)</f>
        <v>26.030996466075699</v>
      </c>
      <c r="AD187" s="59"/>
      <c r="AE187" s="59"/>
      <c r="AF187" s="59">
        <v>80</v>
      </c>
      <c r="AG187" s="59">
        <f t="shared" si="2795"/>
        <v>80</v>
      </c>
      <c r="AH187" s="59">
        <f t="shared" ref="AH187:AH194" si="2809">AG187/$AG$9*298699*0.02</f>
        <v>134.87184986595199</v>
      </c>
      <c r="AI187" s="59">
        <v>1</v>
      </c>
      <c r="AJ187" s="59">
        <f t="shared" si="2796"/>
        <v>1</v>
      </c>
      <c r="AK187" s="59">
        <f t="shared" ref="AK187:AK194" si="2810">AJ187/$AJ$9*298699*0.02</f>
        <v>68.236902902970996</v>
      </c>
      <c r="AL187" s="338"/>
      <c r="AM187" s="59"/>
      <c r="AN187" s="59">
        <v>2000</v>
      </c>
      <c r="AO187" s="62"/>
      <c r="AP187" s="62"/>
      <c r="AQ187" s="59"/>
      <c r="AR187" s="59"/>
      <c r="AS187" s="59"/>
      <c r="AT187" s="189">
        <f>VLOOKUP(B:B,综合进度!B:N,13,0)</f>
        <v>7.4412402512724699e-003</v>
      </c>
      <c r="AU187" s="59">
        <f t="shared" ref="AU187:AU194" si="2811">AT187/$AT$9*298699*0.02</f>
        <v>44.453820436296702</v>
      </c>
      <c r="AV187" s="59"/>
      <c r="AW187" s="59"/>
      <c r="AX187" s="59">
        <f t="shared" ref="AX187:AX194" si="2812">ROUND(V187+AA187+AC187+AN187+AQ187+AS187+AU187+AW187+AH187+AK187,0)</f>
        <v>3456</v>
      </c>
      <c r="AY187" s="59">
        <v>1404</v>
      </c>
      <c r="AZ187" s="59">
        <f t="shared" ref="AZ187:AZ194" si="2813">AY187/$AY$9*280243</f>
        <v>1314.06462429406</v>
      </c>
      <c r="BA187" s="59">
        <f t="shared" ref="BA187:BA194" si="2814">AX187-AZ187</f>
        <v>2141.9353757059398</v>
      </c>
      <c r="BB187" s="43">
        <f t="shared" si="2711"/>
        <v>1.6300076389748599</v>
      </c>
      <c r="BC187" s="50">
        <v>379</v>
      </c>
      <c r="BD187" s="50">
        <f t="shared" ref="BD187:BD194" si="2815">BC187+BA187</f>
        <v>2520.9353757059398</v>
      </c>
    </row>
    <row r="188" ht="17" customHeight="1">
      <c r="A188" s="46">
        <v>123</v>
      </c>
      <c r="B188" s="82" t="s">
        <v>226</v>
      </c>
      <c r="C188" s="46" t="s">
        <v>90</v>
      </c>
      <c r="D188" s="46">
        <v>2017</v>
      </c>
      <c r="E188" s="46"/>
      <c r="F188" s="46"/>
      <c r="G188" s="73">
        <v>42521</v>
      </c>
      <c r="H188" s="59">
        <f t="shared" si="2789"/>
        <v>29764.700000000001</v>
      </c>
      <c r="I188" s="59">
        <f t="shared" si="2790"/>
        <v>0</v>
      </c>
      <c r="J188" s="59">
        <f t="shared" si="2791"/>
        <v>29764.700000000001</v>
      </c>
      <c r="K188" s="59">
        <f t="shared" si="2792"/>
        <v>0</v>
      </c>
      <c r="L188" s="59">
        <f t="shared" si="2793"/>
        <v>0</v>
      </c>
      <c r="M188" s="59">
        <f t="shared" si="2794"/>
        <v>0</v>
      </c>
      <c r="N188" s="59">
        <v>5322</v>
      </c>
      <c r="O188" s="59">
        <v>1690</v>
      </c>
      <c r="P188" s="59">
        <f t="shared" si="2803"/>
        <v>0</v>
      </c>
      <c r="Q188" s="59"/>
      <c r="R188" s="59"/>
      <c r="S188" s="59"/>
      <c r="T188" s="59"/>
      <c r="U188" s="59">
        <v>0</v>
      </c>
      <c r="V188" s="59">
        <f t="shared" si="2804"/>
        <v>452.51292721259699</v>
      </c>
      <c r="W188" s="59">
        <v>11899.709999999999</v>
      </c>
      <c r="X188" s="62">
        <f t="shared" si="2805"/>
        <v>0.60655444068277997</v>
      </c>
      <c r="Y188" s="62">
        <f t="shared" si="2806"/>
        <v>2.9019384105586199</v>
      </c>
      <c r="Z188" s="62">
        <f t="shared" ref="Z188:Z193" si="2816">Y188*0.5</f>
        <v>1.4509692052793099</v>
      </c>
      <c r="AA188" s="59">
        <f t="shared" si="2807"/>
        <v>114.947151548028</v>
      </c>
      <c r="AB188" s="59">
        <v>540.89999999999998</v>
      </c>
      <c r="AC188" s="59">
        <f t="shared" si="2808"/>
        <v>6.82416637029407</v>
      </c>
      <c r="AD188" s="59"/>
      <c r="AE188" s="59"/>
      <c r="AF188" s="59">
        <v>60</v>
      </c>
      <c r="AG188" s="59">
        <f t="shared" si="2795"/>
        <v>60</v>
      </c>
      <c r="AH188" s="59">
        <f t="shared" si="2809"/>
        <v>101.153887399464</v>
      </c>
      <c r="AI188" s="59">
        <v>1</v>
      </c>
      <c r="AJ188" s="59">
        <f t="shared" si="2796"/>
        <v>1</v>
      </c>
      <c r="AK188" s="59">
        <f t="shared" si="2810"/>
        <v>68.236902902970996</v>
      </c>
      <c r="AL188" s="338"/>
      <c r="AM188" s="59"/>
      <c r="AN188" s="59"/>
      <c r="AO188" s="62"/>
      <c r="AP188" s="62"/>
      <c r="AQ188" s="59"/>
      <c r="AR188" s="59"/>
      <c r="AS188" s="59"/>
      <c r="AT188" s="189">
        <f>VLOOKUP(B:B,综合进度!B:N,13,0)</f>
        <v>3.9639457309076096e-003</v>
      </c>
      <c r="AU188" s="59">
        <f t="shared" si="2811"/>
        <v>23.6805325175274</v>
      </c>
      <c r="AV188" s="59"/>
      <c r="AW188" s="59"/>
      <c r="AX188" s="59">
        <f t="shared" si="2812"/>
        <v>767</v>
      </c>
      <c r="AY188" s="59">
        <v>531</v>
      </c>
      <c r="AZ188" s="59">
        <f t="shared" si="2813"/>
        <v>496.98597970095801</v>
      </c>
      <c r="BA188" s="59">
        <f t="shared" si="2814"/>
        <v>270.01402029904199</v>
      </c>
      <c r="BB188" s="43">
        <f t="shared" si="2711"/>
        <v>0.54330309370399599</v>
      </c>
      <c r="BC188" s="50">
        <v>2342</v>
      </c>
      <c r="BD188" s="50">
        <f t="shared" si="2815"/>
        <v>2612.0140202990401</v>
      </c>
    </row>
    <row r="189" ht="17" customHeight="1">
      <c r="A189" s="46">
        <v>124</v>
      </c>
      <c r="B189" s="82" t="s">
        <v>224</v>
      </c>
      <c r="C189" s="46" t="s">
        <v>90</v>
      </c>
      <c r="D189" s="46">
        <v>2018</v>
      </c>
      <c r="E189" s="46"/>
      <c r="F189" s="46"/>
      <c r="G189" s="73">
        <v>38517</v>
      </c>
      <c r="H189" s="59">
        <f t="shared" si="2789"/>
        <v>30813.599999999999</v>
      </c>
      <c r="I189" s="59">
        <f t="shared" si="2790"/>
        <v>0</v>
      </c>
      <c r="J189" s="59">
        <f t="shared" si="2791"/>
        <v>0</v>
      </c>
      <c r="K189" s="59">
        <f t="shared" si="2792"/>
        <v>30813.599999999999</v>
      </c>
      <c r="L189" s="59">
        <f t="shared" si="2793"/>
        <v>0</v>
      </c>
      <c r="M189" s="59">
        <f t="shared" si="2794"/>
        <v>0</v>
      </c>
      <c r="N189" s="59">
        <v>4272</v>
      </c>
      <c r="O189" s="59">
        <v>4109</v>
      </c>
      <c r="P189" s="59">
        <f t="shared" si="2803"/>
        <v>0</v>
      </c>
      <c r="Q189" s="59"/>
      <c r="R189" s="59"/>
      <c r="S189" s="59"/>
      <c r="T189" s="59"/>
      <c r="U189" s="59">
        <v>827</v>
      </c>
      <c r="V189" s="59">
        <f t="shared" si="2804"/>
        <v>448.51029484985099</v>
      </c>
      <c r="W189" s="59">
        <v>12342.84</v>
      </c>
      <c r="X189" s="62">
        <f t="shared" si="2805"/>
        <v>0.53504749056804701</v>
      </c>
      <c r="Y189" s="62">
        <f t="shared" si="2806"/>
        <v>2.2894147073916198</v>
      </c>
      <c r="Z189" s="62">
        <f t="shared" si="2816"/>
        <v>1.1447073536958099</v>
      </c>
      <c r="AA189" s="59">
        <f t="shared" si="2807"/>
        <v>90.684798260818397</v>
      </c>
      <c r="AB189" s="59">
        <v>3068.3000000000002</v>
      </c>
      <c r="AC189" s="59">
        <f t="shared" si="2808"/>
        <v>38.710648315720697</v>
      </c>
      <c r="AD189" s="59"/>
      <c r="AE189" s="59"/>
      <c r="AF189" s="59">
        <v>58</v>
      </c>
      <c r="AG189" s="59">
        <f t="shared" si="2795"/>
        <v>58</v>
      </c>
      <c r="AH189" s="59">
        <f t="shared" si="2809"/>
        <v>97.782091152814999</v>
      </c>
      <c r="AI189" s="59">
        <v>1</v>
      </c>
      <c r="AJ189" s="59">
        <f t="shared" si="2796"/>
        <v>1</v>
      </c>
      <c r="AK189" s="59">
        <f t="shared" si="2810"/>
        <v>68.236902902970996</v>
      </c>
      <c r="AL189" s="338"/>
      <c r="AM189" s="59"/>
      <c r="AN189" s="59"/>
      <c r="AO189" s="62"/>
      <c r="AP189" s="62"/>
      <c r="AQ189" s="59"/>
      <c r="AR189" s="59"/>
      <c r="AS189" s="59"/>
      <c r="AT189" s="189">
        <f>VLOOKUP(B:B,综合进度!B:N,13,0)</f>
        <v>4.02462637761326e-003</v>
      </c>
      <c r="AU189" s="59">
        <f t="shared" si="2811"/>
        <v>24.043037487334001</v>
      </c>
      <c r="AV189" s="59"/>
      <c r="AW189" s="59"/>
      <c r="AX189" s="59">
        <f t="shared" si="2812"/>
        <v>768</v>
      </c>
      <c r="AY189" s="59">
        <v>698</v>
      </c>
      <c r="AZ189" s="59">
        <f t="shared" si="2813"/>
        <v>653.28853828864203</v>
      </c>
      <c r="BA189" s="59">
        <f t="shared" si="2814"/>
        <v>114.711461711358</v>
      </c>
      <c r="BB189" s="43">
        <f t="shared" si="2711"/>
        <v>0.17559080710624</v>
      </c>
      <c r="BC189" s="50">
        <v>2267</v>
      </c>
      <c r="BD189" s="50">
        <f t="shared" si="2815"/>
        <v>2381.7114617113598</v>
      </c>
    </row>
    <row r="190" ht="17" customHeight="1">
      <c r="A190" s="46">
        <v>125</v>
      </c>
      <c r="B190" s="82" t="s">
        <v>227</v>
      </c>
      <c r="C190" s="46" t="s">
        <v>90</v>
      </c>
      <c r="D190" s="46">
        <v>2019</v>
      </c>
      <c r="E190" s="46" t="s">
        <v>91</v>
      </c>
      <c r="F190" s="46"/>
      <c r="G190" s="73">
        <v>47747</v>
      </c>
      <c r="H190" s="59">
        <f t="shared" si="2789"/>
        <v>42972.300000000003</v>
      </c>
      <c r="I190" s="59">
        <f t="shared" si="2790"/>
        <v>0</v>
      </c>
      <c r="J190" s="59">
        <f t="shared" si="2791"/>
        <v>0</v>
      </c>
      <c r="K190" s="59">
        <f t="shared" si="2792"/>
        <v>0</v>
      </c>
      <c r="L190" s="59">
        <f t="shared" si="2793"/>
        <v>42972.300000000003</v>
      </c>
      <c r="M190" s="59">
        <f t="shared" si="2794"/>
        <v>0</v>
      </c>
      <c r="N190" s="59">
        <v>5243</v>
      </c>
      <c r="O190" s="59">
        <v>446</v>
      </c>
      <c r="P190" s="59">
        <f t="shared" si="2803"/>
        <v>0</v>
      </c>
      <c r="Q190" s="59"/>
      <c r="R190" s="59"/>
      <c r="S190" s="59"/>
      <c r="T190" s="59"/>
      <c r="U190" s="59">
        <v>1186</v>
      </c>
      <c r="V190" s="59">
        <f t="shared" si="2804"/>
        <v>591.438176972213</v>
      </c>
      <c r="W190" s="59">
        <v>11861.950000000001</v>
      </c>
      <c r="X190" s="62">
        <f t="shared" si="2805"/>
        <v>0.612647691955166</v>
      </c>
      <c r="Y190" s="62">
        <f t="shared" si="2806"/>
        <v>3.2464201196704199</v>
      </c>
      <c r="Z190" s="62">
        <f>Y190*1</f>
        <v>3.2464201196704199</v>
      </c>
      <c r="AA190" s="59">
        <f t="shared" si="2807"/>
        <v>257.18446961284002</v>
      </c>
      <c r="AB190" s="59">
        <v>2441.1399999999999</v>
      </c>
      <c r="AC190" s="59">
        <f t="shared" si="2808"/>
        <v>30.7981983604727</v>
      </c>
      <c r="AD190" s="59"/>
      <c r="AE190" s="59"/>
      <c r="AF190" s="59">
        <v>45</v>
      </c>
      <c r="AG190" s="59">
        <f t="shared" si="2795"/>
        <v>45</v>
      </c>
      <c r="AH190" s="59">
        <f t="shared" si="2809"/>
        <v>75.865415549597898</v>
      </c>
      <c r="AI190" s="59">
        <v>1</v>
      </c>
      <c r="AJ190" s="59">
        <f t="shared" si="2796"/>
        <v>1</v>
      </c>
      <c r="AK190" s="59">
        <f t="shared" si="2810"/>
        <v>68.236902902970996</v>
      </c>
      <c r="AL190" s="338"/>
      <c r="AM190" s="59"/>
      <c r="AN190" s="59">
        <v>2000</v>
      </c>
      <c r="AO190" s="62"/>
      <c r="AP190" s="62"/>
      <c r="AQ190" s="59"/>
      <c r="AR190" s="59"/>
      <c r="AS190" s="59"/>
      <c r="AT190" s="189">
        <f>VLOOKUP(B:B,综合进度!B:N,13,0)</f>
        <v>5.6186917305237703e-003</v>
      </c>
      <c r="AU190" s="59">
        <f t="shared" si="2811"/>
        <v>33.565952024314399</v>
      </c>
      <c r="AV190" s="59"/>
      <c r="AW190" s="59"/>
      <c r="AX190" s="59">
        <f t="shared" si="2812"/>
        <v>3057</v>
      </c>
      <c r="AY190" s="59">
        <v>1128</v>
      </c>
      <c r="AZ190" s="59">
        <f t="shared" si="2813"/>
        <v>1055.7442280653099</v>
      </c>
      <c r="BA190" s="59">
        <f t="shared" si="2814"/>
        <v>2001.2557719346901</v>
      </c>
      <c r="BB190" s="43">
        <f t="shared" si="2711"/>
        <v>1.89558769892785</v>
      </c>
      <c r="BC190" s="50">
        <v>385</v>
      </c>
      <c r="BD190" s="50">
        <f t="shared" si="2815"/>
        <v>2386.2557719346901</v>
      </c>
    </row>
    <row r="191" s="5" customFormat="1" ht="17" customHeight="1">
      <c r="A191" s="46">
        <v>126</v>
      </c>
      <c r="B191" s="82" t="s">
        <v>228</v>
      </c>
      <c r="C191" s="46" t="s">
        <v>90</v>
      </c>
      <c r="D191" s="46">
        <v>2018</v>
      </c>
      <c r="E191" s="46"/>
      <c r="F191" s="46" t="s">
        <v>146</v>
      </c>
      <c r="G191" s="73">
        <v>32790</v>
      </c>
      <c r="H191" s="59">
        <f t="shared" si="2789"/>
        <v>26232</v>
      </c>
      <c r="I191" s="59">
        <f t="shared" si="2790"/>
        <v>0</v>
      </c>
      <c r="J191" s="59">
        <f t="shared" si="2791"/>
        <v>0</v>
      </c>
      <c r="K191" s="59">
        <f t="shared" si="2792"/>
        <v>26232</v>
      </c>
      <c r="L191" s="59">
        <f t="shared" si="2793"/>
        <v>0</v>
      </c>
      <c r="M191" s="59">
        <f t="shared" si="2794"/>
        <v>0</v>
      </c>
      <c r="N191" s="59">
        <v>4495</v>
      </c>
      <c r="O191" s="59">
        <v>1212</v>
      </c>
      <c r="P191" s="59">
        <f t="shared" si="2803"/>
        <v>0</v>
      </c>
      <c r="Q191" s="59"/>
      <c r="R191" s="59"/>
      <c r="S191" s="59"/>
      <c r="T191" s="59"/>
      <c r="U191" s="59">
        <v>651</v>
      </c>
      <c r="V191" s="59">
        <f t="shared" si="2804"/>
        <v>422.01006973983198</v>
      </c>
      <c r="W191" s="59">
        <v>12185.77</v>
      </c>
      <c r="X191" s="62">
        <f t="shared" si="2805"/>
        <v>0.56039354399372598</v>
      </c>
      <c r="Y191" s="62">
        <f t="shared" si="2806"/>
        <v>2.08942732878061</v>
      </c>
      <c r="Z191" s="62">
        <f t="shared" si="2816"/>
        <v>1.0447136643902999</v>
      </c>
      <c r="AA191" s="59">
        <f t="shared" si="2807"/>
        <v>82.763203704141603</v>
      </c>
      <c r="AB191" s="59">
        <v>447.10000000000002</v>
      </c>
      <c r="AC191" s="59">
        <f t="shared" si="2808"/>
        <v>5.6407557481206902</v>
      </c>
      <c r="AD191" s="59"/>
      <c r="AE191" s="59"/>
      <c r="AF191" s="59">
        <v>25</v>
      </c>
      <c r="AG191" s="59">
        <f t="shared" si="2795"/>
        <v>25</v>
      </c>
      <c r="AH191" s="59">
        <f t="shared" si="2809"/>
        <v>42.147453083109902</v>
      </c>
      <c r="AI191" s="59">
        <v>1</v>
      </c>
      <c r="AJ191" s="59">
        <f t="shared" si="2796"/>
        <v>1</v>
      </c>
      <c r="AK191" s="59">
        <f t="shared" si="2810"/>
        <v>68.236902902970996</v>
      </c>
      <c r="AL191" s="338"/>
      <c r="AM191" s="59"/>
      <c r="AN191" s="59"/>
      <c r="AO191" s="62"/>
      <c r="AP191" s="62"/>
      <c r="AQ191" s="59"/>
      <c r="AR191" s="59"/>
      <c r="AS191" s="59"/>
      <c r="AT191" s="189">
        <f>VLOOKUP(B:B,综合进度!B:N,13,0)</f>
        <v>6.78165712346204e-003</v>
      </c>
      <c r="AU191" s="59">
        <f t="shared" si="2811"/>
        <v>40.513484022419803</v>
      </c>
      <c r="AV191" s="59"/>
      <c r="AW191" s="59"/>
      <c r="AX191" s="59">
        <f t="shared" si="2812"/>
        <v>661</v>
      </c>
      <c r="AY191" s="59">
        <v>2015</v>
      </c>
      <c r="AZ191" s="59">
        <f t="shared" si="2813"/>
        <v>1885.9260811627701</v>
      </c>
      <c r="BA191" s="59">
        <f t="shared" si="2814"/>
        <v>-1224.9260811627701</v>
      </c>
      <c r="BB191" s="43">
        <f t="shared" si="2711"/>
        <v>-0.64950906262855201</v>
      </c>
      <c r="BC191" s="50">
        <v>-4523</v>
      </c>
      <c r="BD191" s="50">
        <f t="shared" si="2815"/>
        <v>-5747.9260811627701</v>
      </c>
    </row>
    <row r="192" ht="17" customHeight="1">
      <c r="A192" s="46">
        <v>127</v>
      </c>
      <c r="B192" s="82" t="s">
        <v>229</v>
      </c>
      <c r="C192" s="46" t="s">
        <v>90</v>
      </c>
      <c r="D192" s="46">
        <v>2018</v>
      </c>
      <c r="E192" s="46"/>
      <c r="F192" s="46"/>
      <c r="G192" s="73">
        <v>26354</v>
      </c>
      <c r="H192" s="59">
        <f t="shared" si="2789"/>
        <v>21083.200000000001</v>
      </c>
      <c r="I192" s="59">
        <f t="shared" si="2790"/>
        <v>0</v>
      </c>
      <c r="J192" s="59">
        <f t="shared" si="2791"/>
        <v>0</v>
      </c>
      <c r="K192" s="59">
        <f t="shared" si="2792"/>
        <v>21083.200000000001</v>
      </c>
      <c r="L192" s="59">
        <f t="shared" si="2793"/>
        <v>0</v>
      </c>
      <c r="M192" s="59">
        <f t="shared" si="2794"/>
        <v>0</v>
      </c>
      <c r="N192" s="59">
        <v>2902</v>
      </c>
      <c r="O192" s="59">
        <v>3784</v>
      </c>
      <c r="P192" s="59">
        <f t="shared" si="2803"/>
        <v>0</v>
      </c>
      <c r="Q192" s="59"/>
      <c r="R192" s="59"/>
      <c r="S192" s="59"/>
      <c r="T192" s="59"/>
      <c r="U192" s="59">
        <v>314</v>
      </c>
      <c r="V192" s="59">
        <f t="shared" si="2804"/>
        <v>293.07814878372102</v>
      </c>
      <c r="W192" s="59">
        <v>11868.41</v>
      </c>
      <c r="X192" s="62">
        <f t="shared" si="2805"/>
        <v>0.61160525542922295</v>
      </c>
      <c r="Y192" s="62">
        <f t="shared" si="2806"/>
        <v>1.7893123352837299</v>
      </c>
      <c r="Z192" s="62">
        <f t="shared" si="2816"/>
        <v>0.89465616764186695</v>
      </c>
      <c r="AA192" s="59">
        <f t="shared" si="2807"/>
        <v>70.875507013611198</v>
      </c>
      <c r="AB192" s="59">
        <v>564.48000000000002</v>
      </c>
      <c r="AC192" s="59">
        <f t="shared" si="2808"/>
        <v>7.1216591471687902</v>
      </c>
      <c r="AD192" s="59"/>
      <c r="AE192" s="59"/>
      <c r="AF192" s="59">
        <v>51</v>
      </c>
      <c r="AG192" s="59">
        <f t="shared" si="2795"/>
        <v>51</v>
      </c>
      <c r="AH192" s="59">
        <f t="shared" si="2809"/>
        <v>85.980804289544295</v>
      </c>
      <c r="AI192" s="59">
        <v>1</v>
      </c>
      <c r="AJ192" s="59">
        <f t="shared" si="2796"/>
        <v>1</v>
      </c>
      <c r="AK192" s="59">
        <f t="shared" si="2810"/>
        <v>68.236902902970996</v>
      </c>
      <c r="AL192" s="338"/>
      <c r="AM192" s="59"/>
      <c r="AN192" s="59"/>
      <c r="AO192" s="62"/>
      <c r="AP192" s="62"/>
      <c r="AQ192" s="59"/>
      <c r="AR192" s="59"/>
      <c r="AS192" s="59"/>
      <c r="AT192" s="189">
        <f>VLOOKUP(B:B,综合进度!B:N,13,0)</f>
        <v>3.4607216638200401e-003</v>
      </c>
      <c r="AU192" s="59">
        <f t="shared" si="2811"/>
        <v>20.6742820052276</v>
      </c>
      <c r="AV192" s="59"/>
      <c r="AW192" s="59"/>
      <c r="AX192" s="59">
        <f t="shared" si="2812"/>
        <v>546</v>
      </c>
      <c r="AY192" s="59">
        <v>536</v>
      </c>
      <c r="AZ192" s="59">
        <f t="shared" si="2813"/>
        <v>501.66569702394298</v>
      </c>
      <c r="BA192" s="59">
        <f t="shared" si="2814"/>
        <v>44.334302976057302</v>
      </c>
      <c r="BB192" s="43">
        <f t="shared" si="2711"/>
        <v>8.8374196679310499e-002</v>
      </c>
      <c r="BC192" s="50">
        <v>1397</v>
      </c>
      <c r="BD192" s="50">
        <f t="shared" si="2815"/>
        <v>1441.3343029760599</v>
      </c>
    </row>
    <row r="193" ht="17" customHeight="1">
      <c r="A193" s="46">
        <v>128</v>
      </c>
      <c r="B193" s="82" t="s">
        <v>230</v>
      </c>
      <c r="C193" s="46" t="s">
        <v>90</v>
      </c>
      <c r="D193" s="46">
        <v>2018</v>
      </c>
      <c r="E193" s="46"/>
      <c r="F193" s="46" t="s">
        <v>146</v>
      </c>
      <c r="G193" s="73">
        <v>36967</v>
      </c>
      <c r="H193" s="59">
        <f t="shared" si="2789"/>
        <v>29573.599999999999</v>
      </c>
      <c r="I193" s="59">
        <f t="shared" si="2790"/>
        <v>0</v>
      </c>
      <c r="J193" s="59">
        <f t="shared" si="2791"/>
        <v>0</v>
      </c>
      <c r="K193" s="59">
        <f t="shared" si="2792"/>
        <v>29573.599999999999</v>
      </c>
      <c r="L193" s="59">
        <f t="shared" si="2793"/>
        <v>0</v>
      </c>
      <c r="M193" s="59">
        <f t="shared" si="2794"/>
        <v>0</v>
      </c>
      <c r="N193" s="59">
        <v>3335</v>
      </c>
      <c r="O193" s="59">
        <v>4547</v>
      </c>
      <c r="P193" s="59">
        <f t="shared" si="2803"/>
        <v>0</v>
      </c>
      <c r="Q193" s="59"/>
      <c r="R193" s="59"/>
      <c r="S193" s="59"/>
      <c r="T193" s="59"/>
      <c r="U193" s="59">
        <v>16</v>
      </c>
      <c r="V193" s="59">
        <f t="shared" si="2804"/>
        <v>352.85932631947702</v>
      </c>
      <c r="W193" s="59">
        <v>11920.309999999999</v>
      </c>
      <c r="X193" s="62">
        <f t="shared" si="2805"/>
        <v>0.60323026228735799</v>
      </c>
      <c r="Y193" s="62">
        <f t="shared" si="2806"/>
        <v>2.4311386030705102</v>
      </c>
      <c r="Z193" s="62">
        <f t="shared" si="2816"/>
        <v>1.21556930153525</v>
      </c>
      <c r="AA193" s="59">
        <f t="shared" si="2807"/>
        <v>96.298548730264997</v>
      </c>
      <c r="AB193" s="59">
        <v>1627.3299999999999</v>
      </c>
      <c r="AC193" s="59">
        <f t="shared" si="2808"/>
        <v>20.530912662914901</v>
      </c>
      <c r="AD193" s="59"/>
      <c r="AE193" s="59"/>
      <c r="AF193" s="59">
        <v>12</v>
      </c>
      <c r="AG193" s="59">
        <f t="shared" si="2795"/>
        <v>12</v>
      </c>
      <c r="AH193" s="59">
        <f t="shared" si="2809"/>
        <v>20.230777479892801</v>
      </c>
      <c r="AI193" s="59">
        <v>1</v>
      </c>
      <c r="AJ193" s="59">
        <f t="shared" si="2796"/>
        <v>1</v>
      </c>
      <c r="AK193" s="59">
        <f t="shared" si="2810"/>
        <v>68.236902902970996</v>
      </c>
      <c r="AL193" s="338"/>
      <c r="AM193" s="59"/>
      <c r="AN193" s="59"/>
      <c r="AO193" s="62"/>
      <c r="AP193" s="62"/>
      <c r="AQ193" s="59"/>
      <c r="AR193" s="59"/>
      <c r="AS193" s="59"/>
      <c r="AT193" s="189">
        <f>VLOOKUP(B:B,综合进度!B:N,13,0)</f>
        <v>5.05519846281869e-003</v>
      </c>
      <c r="AU193" s="59">
        <f t="shared" si="2811"/>
        <v>30.1996545129096</v>
      </c>
      <c r="AV193" s="59"/>
      <c r="AW193" s="59"/>
      <c r="AX193" s="59">
        <f t="shared" si="2812"/>
        <v>588</v>
      </c>
      <c r="AY193" s="59">
        <v>1109</v>
      </c>
      <c r="AZ193" s="59">
        <f t="shared" si="2813"/>
        <v>1037.9613022379699</v>
      </c>
      <c r="BA193" s="59">
        <f t="shared" si="2814"/>
        <v>-449.96130223797098</v>
      </c>
      <c r="BB193" s="43">
        <f t="shared" si="2711"/>
        <v>-0.43350489201071302</v>
      </c>
      <c r="BC193" s="50">
        <v>-2247</v>
      </c>
      <c r="BD193" s="50">
        <f t="shared" si="2815"/>
        <v>-2696.9613022379699</v>
      </c>
    </row>
    <row r="194" ht="17" customHeight="1">
      <c r="A194" s="46">
        <v>129</v>
      </c>
      <c r="B194" s="82" t="s">
        <v>231</v>
      </c>
      <c r="C194" s="46" t="s">
        <v>90</v>
      </c>
      <c r="D194" s="46">
        <v>2018</v>
      </c>
      <c r="E194" s="46" t="s">
        <v>91</v>
      </c>
      <c r="F194" s="46" t="s">
        <v>146</v>
      </c>
      <c r="G194" s="73">
        <v>40066</v>
      </c>
      <c r="H194" s="59">
        <f t="shared" si="2789"/>
        <v>32052.799999999999</v>
      </c>
      <c r="I194" s="59">
        <f t="shared" si="2790"/>
        <v>0</v>
      </c>
      <c r="J194" s="59">
        <f t="shared" si="2791"/>
        <v>0</v>
      </c>
      <c r="K194" s="59">
        <f t="shared" si="2792"/>
        <v>32052.799999999999</v>
      </c>
      <c r="L194" s="59">
        <f t="shared" si="2793"/>
        <v>0</v>
      </c>
      <c r="M194" s="59">
        <f t="shared" si="2794"/>
        <v>0</v>
      </c>
      <c r="N194" s="59">
        <v>5388</v>
      </c>
      <c r="O194" s="59">
        <v>1570</v>
      </c>
      <c r="P194" s="59">
        <f t="shared" si="2803"/>
        <v>0</v>
      </c>
      <c r="Q194" s="59"/>
      <c r="R194" s="59"/>
      <c r="S194" s="59"/>
      <c r="T194" s="59"/>
      <c r="U194" s="59">
        <v>844</v>
      </c>
      <c r="V194" s="59">
        <f t="shared" si="2804"/>
        <v>512.89402084243704</v>
      </c>
      <c r="W194" s="59">
        <v>11602.309999999999</v>
      </c>
      <c r="X194" s="62">
        <f t="shared" si="2805"/>
        <v>0.65454524916814905</v>
      </c>
      <c r="Y194" s="62">
        <f t="shared" si="2806"/>
        <v>2.9751699755689001</v>
      </c>
      <c r="Z194" s="62">
        <f>Y194*1</f>
        <v>2.9751699755689001</v>
      </c>
      <c r="AA194" s="59">
        <f t="shared" si="2807"/>
        <v>235.69577687696599</v>
      </c>
      <c r="AB194" s="59">
        <v>604.39999999999998</v>
      </c>
      <c r="AC194" s="59">
        <f t="shared" si="2808"/>
        <v>7.6253025590788299</v>
      </c>
      <c r="AD194" s="59"/>
      <c r="AE194" s="59"/>
      <c r="AF194" s="59">
        <v>21</v>
      </c>
      <c r="AG194" s="59">
        <f t="shared" si="2795"/>
        <v>21</v>
      </c>
      <c r="AH194" s="59">
        <f t="shared" si="2809"/>
        <v>35.403860589812297</v>
      </c>
      <c r="AI194" s="59">
        <v>1</v>
      </c>
      <c r="AJ194" s="59">
        <f t="shared" si="2796"/>
        <v>1</v>
      </c>
      <c r="AK194" s="59">
        <f t="shared" si="2810"/>
        <v>68.236902902970996</v>
      </c>
      <c r="AL194" s="338"/>
      <c r="AM194" s="59"/>
      <c r="AN194" s="59">
        <v>2000</v>
      </c>
      <c r="AO194" s="62"/>
      <c r="AP194" s="62"/>
      <c r="AQ194" s="59"/>
      <c r="AR194" s="59"/>
      <c r="AS194" s="59"/>
      <c r="AT194" s="189">
        <f>VLOOKUP(B:B,综合进度!B:N,13,0)</f>
        <v>1.32694549891754e-002</v>
      </c>
      <c r="AU194" s="59">
        <f t="shared" si="2811"/>
        <v>79.271458716233994</v>
      </c>
      <c r="AV194" s="59"/>
      <c r="AW194" s="59"/>
      <c r="AX194" s="59">
        <f t="shared" si="2812"/>
        <v>2939</v>
      </c>
      <c r="AY194" s="59">
        <v>3096</v>
      </c>
      <c r="AZ194" s="59">
        <f t="shared" si="2813"/>
        <v>2897.6809663920299</v>
      </c>
      <c r="BA194" s="59">
        <f t="shared" si="2814"/>
        <v>41.319033607972898</v>
      </c>
      <c r="BB194" s="43">
        <f t="shared" si="2711"/>
        <v>1.42593453479526e-002</v>
      </c>
      <c r="BC194" s="50">
        <v>-7315</v>
      </c>
      <c r="BD194" s="50">
        <f t="shared" si="2815"/>
        <v>-7273.6809663920303</v>
      </c>
    </row>
    <row r="196">
      <c r="B196" s="1"/>
    </row>
  </sheetData>
  <autoFilter ref="A9:BH194"/>
  <mergeCells count="44">
    <mergeCell ref="A2:BD2"/>
    <mergeCell ref="G4:V4"/>
    <mergeCell ref="G5:M5"/>
    <mergeCell ref="O5:T5"/>
    <mergeCell ref="H6:M6"/>
    <mergeCell ref="P6:T6"/>
    <mergeCell ref="AB6:AC6"/>
    <mergeCell ref="AD6:AE6"/>
    <mergeCell ref="AF6:AM6"/>
    <mergeCell ref="AT6:AU6"/>
    <mergeCell ref="AV6:AW6"/>
    <mergeCell ref="A4:A7"/>
    <mergeCell ref="B4:B7"/>
    <mergeCell ref="C4:C7"/>
    <mergeCell ref="D4:D7"/>
    <mergeCell ref="E4:E7"/>
    <mergeCell ref="F4:F7"/>
    <mergeCell ref="G6:G7"/>
    <mergeCell ref="N5:N7"/>
    <mergeCell ref="O6:O7"/>
    <mergeCell ref="U5:U7"/>
    <mergeCell ref="V5:V7"/>
    <mergeCell ref="W6:W7"/>
    <mergeCell ref="X6:X7"/>
    <mergeCell ref="Y6:Y7"/>
    <mergeCell ref="Z6:Z7"/>
    <mergeCell ref="AA6:AA7"/>
    <mergeCell ref="AO6:AO7"/>
    <mergeCell ref="AP6:AP7"/>
    <mergeCell ref="AQ6:AQ7"/>
    <mergeCell ref="AR6:AR7"/>
    <mergeCell ref="AS6:AS7"/>
    <mergeCell ref="AX4:AX7"/>
    <mergeCell ref="AY4:AY7"/>
    <mergeCell ref="AZ4:AZ7"/>
    <mergeCell ref="BA4:BA7"/>
    <mergeCell ref="BB4:BB7"/>
    <mergeCell ref="BC4:BC7"/>
    <mergeCell ref="BD4:BD7"/>
    <mergeCell ref="BF4:BF7"/>
    <mergeCell ref="BG4:BG7"/>
    <mergeCell ref="W4:AA5"/>
    <mergeCell ref="AB4:AN5"/>
    <mergeCell ref="AO4:AW5"/>
  </mergeCells>
  <printOptions headings="0" gridLines="0"/>
  <pageMargins left="0.59027777777777801" right="0.62986111111111098" top="0.66874999999999984" bottom="0.62986111111111098" header="0.35416666666666702" footer="0.27500000000000008"/>
  <pageSetup paperSize="8" scale="100" fitToWidth="1" fitToHeight="0" pageOrder="overThenDown" orientation="landscape" usePrinterDefaults="1" blackAndWhite="0" draft="0" cellComments="none" useFirstPageNumber="0" errors="displayed" horizontalDpi="600" verticalDpi="600" copies="1"/>
  <headerFooter>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18">
    <outlinePr applyStyles="0" summaryBelow="1" summaryRight="1" showOutlineSymbols="1"/>
    <pageSetUpPr autoPageBreaks="1" fitToPage="0"/>
  </sheetPr>
  <sheetViews>
    <sheetView zoomScale="130" workbookViewId="0">
      <selection activeCell="B2" activeCellId="0" sqref="B2:B18"/>
    </sheetView>
  </sheetViews>
  <sheetFormatPr defaultColWidth="8" defaultRowHeight="12.75"/>
  <cols>
    <col min="1" max="2" style="346" width="8"/>
    <col customWidth="1" min="3" max="3" style="346" width="3.625"/>
    <col customWidth="1" min="4" max="4" style="346" width="4.5"/>
    <col customWidth="1" min="5" max="5" style="346" width="3.875"/>
    <col customWidth="1" min="6" max="6" style="346" width="4.125"/>
    <col customWidth="1" min="7" max="7" style="346" width="3.7583333333333302"/>
    <col customWidth="1" min="8" max="9" style="346" width="4"/>
    <col customWidth="1" min="10" max="10" style="346" width="4.2583333333333302"/>
    <col customWidth="1" min="11" max="11" style="346" width="4"/>
    <col customWidth="1" min="12" max="12" style="346" width="4.125"/>
    <col customWidth="1" min="13" max="13" style="346" width="4"/>
    <col customWidth="1" min="14" max="14" style="346" width="3.5"/>
    <col customWidth="1" min="15" max="15" style="346" width="4"/>
    <col customWidth="1" min="16" max="16" style="346" width="4.375"/>
    <col customWidth="1" min="17" max="17" style="346" width="5.125"/>
    <col customWidth="1" min="18" max="18" style="346" width="4.4166666666666696"/>
    <col customWidth="1" min="19" max="19" style="346" width="3.8416666666666699"/>
    <col customWidth="1" min="20" max="20" style="346" width="4.4166666666666696"/>
    <col min="21" max="16384" style="202" width="8"/>
  </cols>
  <sheetData>
    <row r="1" s="408" customFormat="1" ht="12">
      <c r="A1" s="409" t="s">
        <v>3</v>
      </c>
      <c r="B1" s="409" t="s">
        <v>4</v>
      </c>
      <c r="C1" s="410" t="s">
        <v>1578</v>
      </c>
      <c r="D1" s="411"/>
      <c r="E1" s="411"/>
      <c r="F1" s="411"/>
      <c r="G1" s="411"/>
      <c r="H1" s="411"/>
      <c r="I1" s="411"/>
      <c r="J1" s="411"/>
      <c r="K1" s="411"/>
      <c r="L1" s="411"/>
      <c r="M1" s="411"/>
      <c r="N1" s="411"/>
      <c r="O1" s="411"/>
      <c r="P1" s="411"/>
      <c r="Q1" s="411"/>
      <c r="R1" s="411"/>
      <c r="S1" s="412"/>
      <c r="T1" s="413" t="s">
        <v>476</v>
      </c>
    </row>
    <row r="2">
      <c r="A2" s="414">
        <v>1</v>
      </c>
      <c r="B2" s="118" t="s">
        <v>109</v>
      </c>
      <c r="C2" s="414"/>
      <c r="D2" s="414">
        <v>1</v>
      </c>
      <c r="E2" s="414">
        <v>2</v>
      </c>
      <c r="F2" s="414">
        <v>1</v>
      </c>
      <c r="G2" s="414">
        <v>1</v>
      </c>
      <c r="H2" s="414">
        <v>1</v>
      </c>
      <c r="I2" s="414">
        <v>1</v>
      </c>
      <c r="J2" s="414"/>
      <c r="K2" s="414">
        <v>1</v>
      </c>
      <c r="L2" s="414">
        <v>1</v>
      </c>
      <c r="M2" s="414"/>
      <c r="N2" s="415">
        <v>2</v>
      </c>
      <c r="O2" s="414"/>
      <c r="P2" s="414"/>
      <c r="Q2" s="414">
        <v>1</v>
      </c>
      <c r="R2" s="414"/>
      <c r="S2" s="414"/>
      <c r="T2" s="414">
        <f t="shared" ref="T2:T11" si="2817">SUM(C2:S2)</f>
        <v>12</v>
      </c>
      <c r="U2" s="202">
        <v>30</v>
      </c>
    </row>
    <row r="3">
      <c r="A3" s="414">
        <v>2</v>
      </c>
      <c r="B3" s="118" t="s">
        <v>65</v>
      </c>
      <c r="C3" s="414">
        <v>1</v>
      </c>
      <c r="D3" s="414"/>
      <c r="E3" s="414"/>
      <c r="F3" s="414">
        <v>2</v>
      </c>
      <c r="G3" s="414">
        <v>1</v>
      </c>
      <c r="H3" s="414"/>
      <c r="I3" s="414"/>
      <c r="J3" s="414"/>
      <c r="K3" s="414"/>
      <c r="L3" s="414">
        <v>1</v>
      </c>
      <c r="M3" s="414"/>
      <c r="N3" s="415">
        <v>2</v>
      </c>
      <c r="O3" s="414"/>
      <c r="P3" s="414">
        <v>1</v>
      </c>
      <c r="Q3" s="414"/>
      <c r="R3" s="414"/>
      <c r="S3" s="414">
        <v>1</v>
      </c>
      <c r="T3" s="414">
        <f t="shared" si="2817"/>
        <v>9</v>
      </c>
      <c r="U3" s="202">
        <v>10</v>
      </c>
    </row>
    <row r="4">
      <c r="A4" s="414">
        <v>3</v>
      </c>
      <c r="B4" s="118" t="s">
        <v>107</v>
      </c>
      <c r="C4" s="414"/>
      <c r="D4" s="414">
        <v>1</v>
      </c>
      <c r="E4" s="414">
        <v>1</v>
      </c>
      <c r="F4" s="414"/>
      <c r="G4" s="414">
        <v>1</v>
      </c>
      <c r="H4" s="414"/>
      <c r="I4" s="414"/>
      <c r="J4" s="414"/>
      <c r="K4" s="414">
        <v>1</v>
      </c>
      <c r="L4" s="414"/>
      <c r="M4" s="414"/>
      <c r="N4" s="415">
        <v>2</v>
      </c>
      <c r="O4" s="414"/>
      <c r="P4" s="414">
        <v>1</v>
      </c>
      <c r="Q4" s="414"/>
      <c r="R4" s="414"/>
      <c r="S4" s="414"/>
      <c r="T4" s="414">
        <f t="shared" si="2817"/>
        <v>7</v>
      </c>
      <c r="U4" s="202">
        <v>10</v>
      </c>
    </row>
    <row r="5">
      <c r="A5" s="414">
        <v>4</v>
      </c>
      <c r="B5" s="118" t="s">
        <v>89</v>
      </c>
      <c r="C5" s="414"/>
      <c r="D5" s="414"/>
      <c r="E5" s="414"/>
      <c r="F5" s="414">
        <v>1</v>
      </c>
      <c r="G5" s="414">
        <v>2</v>
      </c>
      <c r="H5" s="414"/>
      <c r="I5" s="414"/>
      <c r="J5" s="414"/>
      <c r="K5" s="414"/>
      <c r="L5" s="414"/>
      <c r="M5" s="414"/>
      <c r="N5" s="414">
        <v>2</v>
      </c>
      <c r="O5" s="414"/>
      <c r="P5" s="414">
        <v>1</v>
      </c>
      <c r="Q5" s="414"/>
      <c r="R5" s="414">
        <v>1</v>
      </c>
      <c r="S5" s="414">
        <v>1</v>
      </c>
      <c r="T5" s="414">
        <f t="shared" si="2817"/>
        <v>8</v>
      </c>
      <c r="U5" s="202">
        <v>10</v>
      </c>
    </row>
    <row r="6">
      <c r="A6" s="414">
        <v>5</v>
      </c>
      <c r="B6" s="118" t="s">
        <v>96</v>
      </c>
      <c r="C6" s="414"/>
      <c r="D6" s="414"/>
      <c r="E6" s="414">
        <v>1</v>
      </c>
      <c r="F6" s="414"/>
      <c r="G6" s="414">
        <v>1</v>
      </c>
      <c r="H6" s="414"/>
      <c r="I6" s="414"/>
      <c r="J6" s="414">
        <v>1</v>
      </c>
      <c r="K6" s="414"/>
      <c r="L6" s="414">
        <v>1</v>
      </c>
      <c r="M6" s="414"/>
      <c r="N6" s="415">
        <v>2</v>
      </c>
      <c r="O6" s="414"/>
      <c r="P6" s="414">
        <v>1</v>
      </c>
      <c r="Q6" s="414"/>
      <c r="R6" s="414">
        <v>1</v>
      </c>
      <c r="S6" s="414">
        <v>1</v>
      </c>
      <c r="T6" s="414">
        <f t="shared" si="2817"/>
        <v>9</v>
      </c>
      <c r="U6" s="202">
        <v>10</v>
      </c>
    </row>
    <row r="7">
      <c r="A7" s="414">
        <v>6</v>
      </c>
      <c r="B7" s="118" t="s">
        <v>210</v>
      </c>
      <c r="C7" s="414"/>
      <c r="D7" s="414"/>
      <c r="E7" s="414"/>
      <c r="F7" s="414"/>
      <c r="G7" s="414">
        <v>1</v>
      </c>
      <c r="H7" s="414"/>
      <c r="I7" s="414">
        <v>1</v>
      </c>
      <c r="J7" s="414"/>
      <c r="K7" s="414"/>
      <c r="L7" s="414"/>
      <c r="M7" s="414">
        <v>1</v>
      </c>
      <c r="N7" s="414">
        <v>3</v>
      </c>
      <c r="O7" s="414"/>
      <c r="P7" s="414"/>
      <c r="Q7" s="414"/>
      <c r="R7" s="414"/>
      <c r="S7" s="414"/>
      <c r="T7" s="414">
        <f t="shared" si="2817"/>
        <v>6</v>
      </c>
      <c r="U7" s="202">
        <v>10</v>
      </c>
    </row>
    <row r="8">
      <c r="A8" s="414">
        <v>7</v>
      </c>
      <c r="B8" s="118" t="s">
        <v>213</v>
      </c>
      <c r="C8" s="414">
        <v>1</v>
      </c>
      <c r="D8" s="414">
        <v>1</v>
      </c>
      <c r="E8" s="414">
        <v>1</v>
      </c>
      <c r="F8" s="414">
        <v>1</v>
      </c>
      <c r="G8" s="414">
        <v>1</v>
      </c>
      <c r="H8" s="414"/>
      <c r="I8" s="414"/>
      <c r="J8" s="414"/>
      <c r="K8" s="414"/>
      <c r="L8" s="414"/>
      <c r="M8" s="414">
        <v>1</v>
      </c>
      <c r="N8" s="415">
        <v>3</v>
      </c>
      <c r="O8" s="414"/>
      <c r="P8" s="414">
        <v>2</v>
      </c>
      <c r="Q8" s="414"/>
      <c r="R8" s="414">
        <v>1</v>
      </c>
      <c r="S8" s="414"/>
      <c r="T8" s="414">
        <f t="shared" si="2817"/>
        <v>12</v>
      </c>
      <c r="U8" s="202">
        <v>30</v>
      </c>
    </row>
    <row r="9">
      <c r="A9" s="414">
        <v>8</v>
      </c>
      <c r="B9" s="118" t="s">
        <v>220</v>
      </c>
      <c r="C9" s="414"/>
      <c r="D9" s="414">
        <v>2</v>
      </c>
      <c r="E9" s="414"/>
      <c r="F9" s="414">
        <v>1</v>
      </c>
      <c r="G9" s="414">
        <v>1</v>
      </c>
      <c r="H9" s="414">
        <v>2</v>
      </c>
      <c r="I9" s="414"/>
      <c r="J9" s="414"/>
      <c r="K9" s="414"/>
      <c r="L9" s="414"/>
      <c r="M9" s="414">
        <v>2</v>
      </c>
      <c r="N9" s="414">
        <v>4</v>
      </c>
      <c r="O9" s="414">
        <v>1</v>
      </c>
      <c r="P9" s="414">
        <v>1</v>
      </c>
      <c r="Q9" s="414"/>
      <c r="R9" s="414"/>
      <c r="S9" s="414"/>
      <c r="T9" s="414">
        <f t="shared" si="2817"/>
        <v>14</v>
      </c>
      <c r="U9" s="202">
        <v>30</v>
      </c>
    </row>
    <row r="10">
      <c r="A10" s="414">
        <v>9</v>
      </c>
      <c r="B10" s="118" t="s">
        <v>174</v>
      </c>
      <c r="C10" s="414"/>
      <c r="D10" s="414"/>
      <c r="E10" s="414">
        <v>1</v>
      </c>
      <c r="F10" s="414">
        <v>1</v>
      </c>
      <c r="G10" s="414">
        <v>1</v>
      </c>
      <c r="H10" s="414"/>
      <c r="I10" s="414"/>
      <c r="J10" s="414">
        <v>1</v>
      </c>
      <c r="K10" s="414"/>
      <c r="L10" s="414"/>
      <c r="M10" s="414"/>
      <c r="N10" s="415">
        <v>1</v>
      </c>
      <c r="O10" s="414"/>
      <c r="P10" s="414"/>
      <c r="Q10" s="414"/>
      <c r="R10" s="414"/>
      <c r="S10" s="414"/>
      <c r="T10" s="414">
        <f t="shared" si="2817"/>
        <v>5</v>
      </c>
      <c r="U10" s="202">
        <v>10</v>
      </c>
    </row>
    <row r="11">
      <c r="A11" s="414">
        <v>10</v>
      </c>
      <c r="B11" s="118" t="s">
        <v>133</v>
      </c>
      <c r="C11" s="414">
        <v>1</v>
      </c>
      <c r="D11" s="414"/>
      <c r="E11" s="414"/>
      <c r="F11" s="414">
        <v>1</v>
      </c>
      <c r="G11" s="414">
        <v>2</v>
      </c>
      <c r="H11" s="414"/>
      <c r="I11" s="414"/>
      <c r="J11" s="414"/>
      <c r="K11" s="414">
        <v>1</v>
      </c>
      <c r="L11" s="414">
        <v>1</v>
      </c>
      <c r="M11" s="414">
        <v>2</v>
      </c>
      <c r="N11" s="415">
        <v>3</v>
      </c>
      <c r="O11" s="414">
        <v>1</v>
      </c>
      <c r="P11" s="414">
        <v>1</v>
      </c>
      <c r="Q11" s="414">
        <v>1</v>
      </c>
      <c r="R11" s="414"/>
      <c r="S11" s="414">
        <v>1</v>
      </c>
      <c r="T11" s="414">
        <f t="shared" si="2817"/>
        <v>15</v>
      </c>
      <c r="U11" s="202">
        <v>30</v>
      </c>
    </row>
    <row r="12">
      <c r="A12" s="414">
        <v>11</v>
      </c>
      <c r="B12" s="118" t="s">
        <v>88</v>
      </c>
      <c r="C12" s="414"/>
      <c r="D12" s="414"/>
      <c r="E12" s="414"/>
      <c r="F12" s="414"/>
      <c r="G12" s="414"/>
      <c r="H12" s="414"/>
      <c r="I12" s="414"/>
      <c r="J12" s="414"/>
      <c r="K12" s="414"/>
      <c r="L12" s="414"/>
      <c r="M12" s="414"/>
      <c r="N12" s="414"/>
      <c r="O12" s="414"/>
      <c r="P12" s="414"/>
      <c r="Q12" s="414"/>
      <c r="R12" s="414"/>
      <c r="S12" s="414"/>
      <c r="T12" s="414">
        <v>23</v>
      </c>
      <c r="U12" s="202">
        <v>50</v>
      </c>
    </row>
    <row r="13">
      <c r="A13" s="414">
        <v>12</v>
      </c>
      <c r="B13" s="118" t="s">
        <v>144</v>
      </c>
      <c r="C13" s="414"/>
      <c r="D13" s="414"/>
      <c r="E13" s="414"/>
      <c r="F13" s="414"/>
      <c r="G13" s="414"/>
      <c r="H13" s="414"/>
      <c r="I13" s="414"/>
      <c r="J13" s="414"/>
      <c r="K13" s="414"/>
      <c r="L13" s="414"/>
      <c r="M13" s="414"/>
      <c r="N13" s="414"/>
      <c r="O13" s="414"/>
      <c r="P13" s="414"/>
      <c r="Q13" s="414"/>
      <c r="R13" s="414"/>
      <c r="S13" s="414"/>
      <c r="T13" s="414">
        <v>28</v>
      </c>
      <c r="U13" s="202">
        <v>50</v>
      </c>
    </row>
    <row r="14">
      <c r="A14" s="414">
        <v>13</v>
      </c>
      <c r="B14" s="118" t="s">
        <v>132</v>
      </c>
      <c r="C14" s="414"/>
      <c r="D14" s="414"/>
      <c r="E14" s="414"/>
      <c r="F14" s="414"/>
      <c r="G14" s="414"/>
      <c r="H14" s="414"/>
      <c r="I14" s="414"/>
      <c r="J14" s="414"/>
      <c r="K14" s="414"/>
      <c r="L14" s="414"/>
      <c r="M14" s="414"/>
      <c r="N14" s="414"/>
      <c r="O14" s="414"/>
      <c r="P14" s="414"/>
      <c r="Q14" s="414"/>
      <c r="R14" s="414"/>
      <c r="S14" s="414"/>
      <c r="T14" s="414">
        <v>16</v>
      </c>
      <c r="U14" s="202">
        <v>30</v>
      </c>
    </row>
    <row r="15">
      <c r="A15" s="414">
        <v>14</v>
      </c>
      <c r="B15" s="118" t="s">
        <v>216</v>
      </c>
      <c r="C15" s="414"/>
      <c r="D15" s="414"/>
      <c r="E15" s="414"/>
      <c r="F15" s="414"/>
      <c r="G15" s="414"/>
      <c r="H15" s="414"/>
      <c r="I15" s="414"/>
      <c r="J15" s="414"/>
      <c r="K15" s="414"/>
      <c r="L15" s="414"/>
      <c r="M15" s="414"/>
      <c r="N15" s="414"/>
      <c r="O15" s="414"/>
      <c r="P15" s="414"/>
      <c r="Q15" s="414"/>
      <c r="R15" s="414"/>
      <c r="S15" s="414"/>
      <c r="T15" s="414">
        <v>14</v>
      </c>
      <c r="U15" s="202">
        <v>30</v>
      </c>
    </row>
    <row r="16">
      <c r="A16" s="414">
        <v>15</v>
      </c>
      <c r="B16" s="118" t="s">
        <v>86</v>
      </c>
      <c r="C16" s="414"/>
      <c r="D16" s="414"/>
      <c r="E16" s="414"/>
      <c r="F16" s="414"/>
      <c r="G16" s="414"/>
      <c r="H16" s="414"/>
      <c r="I16" s="414"/>
      <c r="J16" s="414"/>
      <c r="K16" s="414"/>
      <c r="L16" s="414"/>
      <c r="M16" s="414"/>
      <c r="N16" s="414"/>
      <c r="O16" s="414"/>
      <c r="P16" s="414"/>
      <c r="Q16" s="414"/>
      <c r="R16" s="414"/>
      <c r="S16" s="414"/>
      <c r="T16" s="414">
        <v>14</v>
      </c>
      <c r="U16" s="202">
        <v>30</v>
      </c>
    </row>
    <row r="17">
      <c r="A17" s="414">
        <v>16</v>
      </c>
      <c r="B17" s="118" t="s">
        <v>87</v>
      </c>
      <c r="C17" s="414"/>
      <c r="D17" s="414"/>
      <c r="E17" s="414"/>
      <c r="F17" s="414"/>
      <c r="G17" s="414"/>
      <c r="H17" s="414"/>
      <c r="I17" s="414"/>
      <c r="J17" s="414"/>
      <c r="K17" s="414"/>
      <c r="L17" s="414"/>
      <c r="M17" s="414"/>
      <c r="N17" s="414"/>
      <c r="O17" s="414"/>
      <c r="P17" s="414"/>
      <c r="Q17" s="414"/>
      <c r="R17" s="414"/>
      <c r="S17" s="414"/>
      <c r="T17" s="414">
        <v>18</v>
      </c>
      <c r="U17" s="202">
        <v>30</v>
      </c>
    </row>
    <row r="18">
      <c r="A18" s="414">
        <v>17</v>
      </c>
      <c r="B18" s="118" t="s">
        <v>131</v>
      </c>
      <c r="C18" s="414"/>
      <c r="D18" s="414"/>
      <c r="E18" s="414"/>
      <c r="F18" s="414"/>
      <c r="G18" s="414"/>
      <c r="H18" s="414"/>
      <c r="I18" s="414"/>
      <c r="J18" s="414"/>
      <c r="K18" s="414"/>
      <c r="L18" s="414"/>
      <c r="M18" s="414"/>
      <c r="N18" s="414"/>
      <c r="O18" s="414"/>
      <c r="P18" s="414"/>
      <c r="Q18" s="414"/>
      <c r="R18" s="414"/>
      <c r="S18" s="414"/>
      <c r="T18" s="414">
        <v>34</v>
      </c>
      <c r="U18" s="202">
        <v>100</v>
      </c>
    </row>
  </sheetData>
  <mergeCells count="1">
    <mergeCell ref="C1:S1"/>
  </mergeCells>
  <printOptions headings="0" gridLines="0"/>
  <pageMargins left="0.75" right="0.75" top="1" bottom="1" header="0.5" footer="0.5"/>
  <pageSetup paperSize="9" scale="100" fitToWidth="1" fitToHeight="1" pageOrder="downThenOver" orientation="landscape" usePrinterDefaults="1" blackAndWhite="0" draft="0" cellComments="none" useFirstPageNumber="0" errors="displayed" horizontalDpi="600" verticalDpi="600" copies="1"/>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filterMode="1">
    <outlinePr applyStyles="0" summaryBelow="1" summaryRight="1" showOutlineSymbols="1"/>
    <pageSetUpPr autoPageBreaks="1" fitToPage="0"/>
  </sheetPr>
  <sheetViews>
    <sheetView zoomScale="100" workbookViewId="0">
      <selection activeCell="A2" activeCellId="0" sqref="A2:J2"/>
    </sheetView>
  </sheetViews>
  <sheetFormatPr defaultColWidth="9" defaultRowHeight="13.5"/>
  <cols>
    <col min="2" max="2" style="5" width="9"/>
    <col min="4" max="5" style="135" width="9"/>
    <col customWidth="1" min="6" max="6" width="10"/>
    <col min="7" max="7" width="9.375"/>
    <col customWidth="1" min="8" max="8" width="10.875"/>
    <col customWidth="1" min="10" max="10" width="11.125"/>
    <col customWidth="1" min="11" max="11" style="134" width="9.875"/>
  </cols>
  <sheetData>
    <row r="1" ht="14.25">
      <c r="A1" s="211" t="s">
        <v>0</v>
      </c>
      <c r="B1" s="212"/>
      <c r="C1" s="213"/>
      <c r="D1" s="213"/>
      <c r="E1" s="213"/>
      <c r="F1" s="213"/>
      <c r="G1" s="213"/>
      <c r="H1" s="84"/>
      <c r="I1" s="84"/>
      <c r="J1" s="215"/>
      <c r="K1" s="216"/>
      <c r="L1" s="84"/>
    </row>
    <row r="2" ht="48" customHeight="1">
      <c r="A2" s="217" t="s">
        <v>1579</v>
      </c>
      <c r="B2" s="218"/>
      <c r="C2" s="217"/>
      <c r="D2" s="217"/>
      <c r="E2" s="217"/>
      <c r="F2" s="217"/>
      <c r="G2" s="217"/>
      <c r="H2" s="217"/>
      <c r="I2" s="217"/>
      <c r="J2" s="217"/>
      <c r="K2" s="219"/>
      <c r="L2" s="220"/>
    </row>
    <row r="3" ht="57">
      <c r="A3" s="221" t="s">
        <v>3</v>
      </c>
      <c r="B3" s="222" t="s">
        <v>4</v>
      </c>
      <c r="C3" s="223" t="s">
        <v>1130</v>
      </c>
      <c r="D3" s="224" t="s">
        <v>1132</v>
      </c>
      <c r="E3" s="224" t="s">
        <v>1580</v>
      </c>
      <c r="F3" s="225" t="s">
        <v>1581</v>
      </c>
      <c r="G3" s="224" t="s">
        <v>1135</v>
      </c>
      <c r="H3" s="224" t="s">
        <v>1582</v>
      </c>
      <c r="I3" s="226" t="s">
        <v>1581</v>
      </c>
      <c r="J3" s="225" t="s">
        <v>439</v>
      </c>
    </row>
    <row r="4" hidden="1">
      <c r="A4" s="228"/>
      <c r="B4" s="229" t="s">
        <v>451</v>
      </c>
      <c r="C4" s="230"/>
      <c r="D4" s="231"/>
      <c r="E4" s="231"/>
      <c r="F4" s="232"/>
      <c r="G4" s="231"/>
      <c r="H4" s="232"/>
      <c r="I4" s="232"/>
      <c r="J4" s="234"/>
    </row>
    <row r="5">
      <c r="A5" s="235">
        <v>1</v>
      </c>
      <c r="B5" s="236" t="s">
        <v>57</v>
      </c>
      <c r="C5" s="237" t="s">
        <v>78</v>
      </c>
      <c r="D5" s="238"/>
      <c r="E5" s="231"/>
      <c r="F5" s="239">
        <f t="shared" ref="F5:F18" si="2818">IF((E5-D5)&gt;0,E5/$E$149,0)</f>
        <v>0</v>
      </c>
      <c r="G5" s="238"/>
      <c r="H5" s="239"/>
      <c r="I5" s="239">
        <f t="shared" ref="I5:I18" si="2819">IF((H5-G5)&gt;0,H5/$H$149,0)</f>
        <v>0</v>
      </c>
      <c r="J5" s="242">
        <f t="shared" ref="J5:J18" si="2820">(F5*0.5+I5*0.5)*10000</f>
        <v>0</v>
      </c>
    </row>
    <row r="6">
      <c r="A6" s="235">
        <v>2</v>
      </c>
      <c r="B6" s="243" t="s">
        <v>59</v>
      </c>
      <c r="C6" s="237" t="s">
        <v>78</v>
      </c>
      <c r="D6" s="238">
        <v>10</v>
      </c>
      <c r="E6" s="231">
        <f>VLOOKUP(B:B,[3]数据透视加工表!$B:$C,2,0)</f>
        <v>24</v>
      </c>
      <c r="F6" s="239">
        <f t="shared" si="2818"/>
        <v>1.6586040082930201e-003</v>
      </c>
      <c r="G6" s="238">
        <v>8511.4362039999996</v>
      </c>
      <c r="H6" s="239">
        <v>10876.166300000001</v>
      </c>
      <c r="I6" s="239">
        <f t="shared" si="2819"/>
        <v>1.4661619484390999e-003</v>
      </c>
      <c r="J6" s="242">
        <f t="shared" si="2820"/>
        <v>15.6238297836606</v>
      </c>
    </row>
    <row r="7">
      <c r="A7" s="235">
        <v>3</v>
      </c>
      <c r="B7" s="236" t="s">
        <v>61</v>
      </c>
      <c r="C7" s="237" t="s">
        <v>78</v>
      </c>
      <c r="D7" s="238"/>
      <c r="E7" s="231"/>
      <c r="F7" s="239">
        <f t="shared" si="2818"/>
        <v>0</v>
      </c>
      <c r="G7" s="238"/>
      <c r="H7" s="239"/>
      <c r="I7" s="239">
        <f t="shared" si="2819"/>
        <v>0</v>
      </c>
      <c r="J7" s="242">
        <f t="shared" si="2820"/>
        <v>0</v>
      </c>
    </row>
    <row r="8">
      <c r="A8" s="235">
        <v>4</v>
      </c>
      <c r="B8" s="236" t="s">
        <v>63</v>
      </c>
      <c r="C8" s="237" t="s">
        <v>78</v>
      </c>
      <c r="D8" s="238"/>
      <c r="E8" s="231"/>
      <c r="F8" s="239">
        <f t="shared" si="2818"/>
        <v>0</v>
      </c>
      <c r="G8" s="238"/>
      <c r="H8" s="239"/>
      <c r="I8" s="239">
        <f t="shared" si="2819"/>
        <v>0</v>
      </c>
      <c r="J8" s="242">
        <f t="shared" si="2820"/>
        <v>0</v>
      </c>
    </row>
    <row r="9">
      <c r="A9" s="235">
        <v>5</v>
      </c>
      <c r="B9" s="243" t="s">
        <v>65</v>
      </c>
      <c r="C9" s="237" t="s">
        <v>93</v>
      </c>
      <c r="D9" s="238">
        <v>84</v>
      </c>
      <c r="E9" s="231">
        <f>VLOOKUP(B:B,[3]数据透视加工表!$B:$C,2,0)</f>
        <v>56</v>
      </c>
      <c r="F9" s="239">
        <f t="shared" si="2818"/>
        <v>0</v>
      </c>
      <c r="G9" s="238">
        <v>41962.419999999998</v>
      </c>
      <c r="H9" s="239">
        <v>53580.540000000001</v>
      </c>
      <c r="I9" s="239">
        <f t="shared" si="2819"/>
        <v>7.2229264207571897e-003</v>
      </c>
      <c r="J9" s="242">
        <f t="shared" si="2820"/>
        <v>36.114632103785901</v>
      </c>
    </row>
    <row r="10">
      <c r="A10" s="235">
        <v>6</v>
      </c>
      <c r="B10" s="236" t="s">
        <v>67</v>
      </c>
      <c r="C10" s="237" t="s">
        <v>78</v>
      </c>
      <c r="D10" s="238"/>
      <c r="E10" s="231"/>
      <c r="F10" s="239">
        <f t="shared" si="2818"/>
        <v>0</v>
      </c>
      <c r="G10" s="238"/>
      <c r="H10" s="239"/>
      <c r="I10" s="239">
        <f t="shared" si="2819"/>
        <v>0</v>
      </c>
      <c r="J10" s="242">
        <f t="shared" si="2820"/>
        <v>0</v>
      </c>
    </row>
    <row r="11">
      <c r="A11" s="235">
        <v>7</v>
      </c>
      <c r="B11" s="243" t="s">
        <v>69</v>
      </c>
      <c r="C11" s="237" t="s">
        <v>78</v>
      </c>
      <c r="D11" s="238">
        <v>42</v>
      </c>
      <c r="E11" s="231">
        <f>VLOOKUP(B:B,[3]数据透视加工表!$B:$C,2,0)</f>
        <v>52</v>
      </c>
      <c r="F11" s="239">
        <f t="shared" si="2818"/>
        <v>3.59364201796821e-003</v>
      </c>
      <c r="G11" s="238">
        <v>5116.1700000000001</v>
      </c>
      <c r="H11" s="239">
        <v>36282</v>
      </c>
      <c r="I11" s="239">
        <f t="shared" si="2819"/>
        <v>4.8909961787976103e-003</v>
      </c>
      <c r="J11" s="242">
        <f t="shared" si="2820"/>
        <v>42.423190983829102</v>
      </c>
    </row>
    <row r="12">
      <c r="A12" s="244">
        <v>8</v>
      </c>
      <c r="B12" s="243" t="s">
        <v>71</v>
      </c>
      <c r="C12" s="237" t="s">
        <v>78</v>
      </c>
      <c r="D12" s="238">
        <v>17</v>
      </c>
      <c r="E12" s="231">
        <f>VLOOKUP(B:B,'[3]数据透视加工表'!$B:$C,2,0)</f>
        <v>27</v>
      </c>
      <c r="F12" s="239">
        <f t="shared" si="2818"/>
        <v>1.86592950932965e-003</v>
      </c>
      <c r="G12" s="238">
        <v>4852.2929999999997</v>
      </c>
      <c r="H12" s="239">
        <v>15419.379999999999</v>
      </c>
      <c r="I12" s="239">
        <f t="shared" si="2819"/>
        <v>2.0786100176238402e-003</v>
      </c>
      <c r="J12" s="242">
        <f t="shared" si="2820"/>
        <v>19.7226976347674</v>
      </c>
    </row>
    <row r="13">
      <c r="A13" s="235">
        <v>9</v>
      </c>
      <c r="B13" s="243" t="s">
        <v>73</v>
      </c>
      <c r="C13" s="237" t="s">
        <v>78</v>
      </c>
      <c r="D13" s="238">
        <v>104</v>
      </c>
      <c r="E13" s="231">
        <f>VLOOKUP(B:B,'[3]数据透视加工表'!$B:$C,2,0)</f>
        <v>59</v>
      </c>
      <c r="F13" s="239">
        <f t="shared" si="2818"/>
        <v>0</v>
      </c>
      <c r="G13" s="238">
        <v>3483.5691999999999</v>
      </c>
      <c r="H13" s="239">
        <v>10827.559999999999</v>
      </c>
      <c r="I13" s="239">
        <f t="shared" si="2819"/>
        <v>1.45960957460178e-003</v>
      </c>
      <c r="J13" s="242">
        <f t="shared" si="2820"/>
        <v>7.2980478730089002</v>
      </c>
    </row>
    <row r="14">
      <c r="A14" s="235">
        <v>10</v>
      </c>
      <c r="B14" s="243" t="s">
        <v>75</v>
      </c>
      <c r="C14" s="237" t="s">
        <v>78</v>
      </c>
      <c r="D14" s="238">
        <v>82</v>
      </c>
      <c r="E14" s="231">
        <f>VLOOKUP(B:B,'[3]数据透视加工表'!$B:$C,2,0)</f>
        <v>47</v>
      </c>
      <c r="F14" s="239">
        <f t="shared" si="2818"/>
        <v>0</v>
      </c>
      <c r="G14" s="238">
        <v>4850.4300000000003</v>
      </c>
      <c r="H14" s="239">
        <v>7860.0799999999999</v>
      </c>
      <c r="I14" s="239">
        <f t="shared" si="2819"/>
        <v>1.05957833760662e-003</v>
      </c>
      <c r="J14" s="242">
        <f t="shared" si="2820"/>
        <v>5.2978916880331104</v>
      </c>
    </row>
    <row r="15">
      <c r="A15" s="235">
        <v>11</v>
      </c>
      <c r="B15" s="243" t="s">
        <v>77</v>
      </c>
      <c r="C15" s="237" t="s">
        <v>78</v>
      </c>
      <c r="D15" s="238">
        <v>57</v>
      </c>
      <c r="E15" s="231">
        <f>VLOOKUP(B:B,'[3]数据透视加工表'!$B:$C,2,0)</f>
        <v>10</v>
      </c>
      <c r="F15" s="239">
        <f t="shared" si="2818"/>
        <v>0</v>
      </c>
      <c r="G15" s="238">
        <v>8028.8199999999997</v>
      </c>
      <c r="H15" s="239">
        <v>8622.1800000000003</v>
      </c>
      <c r="I15" s="239">
        <f t="shared" si="2819"/>
        <v>1.16231325265711e-003</v>
      </c>
      <c r="J15" s="242">
        <f t="shared" si="2820"/>
        <v>5.8115662632855303</v>
      </c>
    </row>
    <row r="16">
      <c r="A16" s="235">
        <v>12</v>
      </c>
      <c r="B16" s="243" t="s">
        <v>79</v>
      </c>
      <c r="C16" s="237" t="s">
        <v>90</v>
      </c>
      <c r="D16" s="238">
        <v>70</v>
      </c>
      <c r="E16" s="231">
        <f>VLOOKUP(B:B,'[3]数据透视加工表'!$B:$C,2,0)</f>
        <v>55</v>
      </c>
      <c r="F16" s="239">
        <f t="shared" si="2818"/>
        <v>0</v>
      </c>
      <c r="G16" s="238">
        <v>46025.006000000001</v>
      </c>
      <c r="H16" s="239">
        <v>61246.93</v>
      </c>
      <c r="I16" s="239">
        <f t="shared" si="2819"/>
        <v>8.2563943716742298e-003</v>
      </c>
      <c r="J16" s="242">
        <f t="shared" si="2820"/>
        <v>41.2819718583712</v>
      </c>
    </row>
    <row r="17">
      <c r="A17" s="235">
        <v>13</v>
      </c>
      <c r="B17" s="243" t="s">
        <v>80</v>
      </c>
      <c r="C17" s="237" t="s">
        <v>90</v>
      </c>
      <c r="D17" s="238">
        <v>169</v>
      </c>
      <c r="E17" s="231">
        <f>VLOOKUP(B:B,'[3]数据透视加工表'!$B:$C,2,0)</f>
        <v>107</v>
      </c>
      <c r="F17" s="239">
        <f t="shared" si="2818"/>
        <v>0</v>
      </c>
      <c r="G17" s="238">
        <v>43328.052000000003</v>
      </c>
      <c r="H17" s="239">
        <v>36763.3897</v>
      </c>
      <c r="I17" s="239">
        <f t="shared" si="2819"/>
        <v>0</v>
      </c>
      <c r="J17" s="242">
        <f t="shared" si="2820"/>
        <v>0</v>
      </c>
    </row>
    <row r="18">
      <c r="A18" s="235">
        <v>14</v>
      </c>
      <c r="B18" s="236" t="s">
        <v>81</v>
      </c>
      <c r="C18" s="237" t="s">
        <v>78</v>
      </c>
      <c r="D18" s="238"/>
      <c r="E18" s="231"/>
      <c r="F18" s="239">
        <f t="shared" si="2818"/>
        <v>0</v>
      </c>
      <c r="G18" s="238"/>
      <c r="H18" s="239"/>
      <c r="I18" s="239">
        <f t="shared" si="2819"/>
        <v>0</v>
      </c>
      <c r="J18" s="242">
        <f t="shared" si="2820"/>
        <v>0</v>
      </c>
    </row>
    <row r="19" hidden="1">
      <c r="A19" s="228"/>
      <c r="B19" s="229" t="s">
        <v>457</v>
      </c>
      <c r="C19" s="230"/>
      <c r="D19" s="231"/>
      <c r="E19" s="231"/>
      <c r="F19" s="232"/>
      <c r="G19" s="231"/>
      <c r="H19" s="232">
        <v>77028.740000000005</v>
      </c>
      <c r="I19" s="239">
        <f>IF((H19-G19)&gt;0,1*H19/$H$149,0)</f>
        <v>1.03838617771235e-002</v>
      </c>
      <c r="J19" s="234"/>
    </row>
    <row r="20">
      <c r="A20" s="235">
        <v>15</v>
      </c>
      <c r="B20" s="243" t="s">
        <v>84</v>
      </c>
      <c r="C20" s="237" t="s">
        <v>93</v>
      </c>
      <c r="D20" s="238">
        <v>40</v>
      </c>
      <c r="E20" s="231">
        <f>VLOOKUP(B:B,'[3]数据透视加工表'!$B:$C,2,0)</f>
        <v>25</v>
      </c>
      <c r="F20" s="239">
        <f t="shared" ref="F20:F83" si="2821">IF((E20-D20)&gt;0,E20/$E$149,0)</f>
        <v>0</v>
      </c>
      <c r="G20" s="238">
        <v>75075.515299999999</v>
      </c>
      <c r="H20" s="239">
        <v>535760.875</v>
      </c>
      <c r="I20" s="239">
        <f t="shared" ref="I20:I30" si="2822">IF((H20-G20)&gt;0,H20/$H$149,0)</f>
        <v>7.2223262013512493e-002</v>
      </c>
      <c r="J20" s="242">
        <f t="shared" ref="J20:J83" si="2823">(F20*0.5+I20*0.5)*10000</f>
        <v>361.11631006756301</v>
      </c>
    </row>
    <row r="21">
      <c r="A21" s="235">
        <v>16</v>
      </c>
      <c r="B21" s="243" t="s">
        <v>85</v>
      </c>
      <c r="C21" s="237" t="s">
        <v>93</v>
      </c>
      <c r="D21" s="238">
        <v>112</v>
      </c>
      <c r="E21" s="231">
        <f>VLOOKUP(B:B,'[3]数据透视加工表'!$B:$C,2,0)</f>
        <v>489</v>
      </c>
      <c r="F21" s="239">
        <f t="shared" si="2821"/>
        <v>3.3794056668970299e-002</v>
      </c>
      <c r="G21" s="238">
        <v>61635.7883</v>
      </c>
      <c r="H21" s="239">
        <v>64922</v>
      </c>
      <c r="I21" s="239">
        <f t="shared" si="2822"/>
        <v>8.7518123014138707e-003</v>
      </c>
      <c r="J21" s="242">
        <f t="shared" si="2823"/>
        <v>212.72934485192101</v>
      </c>
    </row>
    <row r="22">
      <c r="A22" s="235">
        <v>17</v>
      </c>
      <c r="B22" s="243" t="s">
        <v>86</v>
      </c>
      <c r="C22" s="237" t="s">
        <v>93</v>
      </c>
      <c r="D22" s="238">
        <v>214</v>
      </c>
      <c r="E22" s="231">
        <f>VLOOKUP(B:B,'[3]数据透视加工表'!$B:$C,2,0)</f>
        <v>22</v>
      </c>
      <c r="F22" s="239">
        <f t="shared" si="2821"/>
        <v>0</v>
      </c>
      <c r="G22" s="238">
        <v>50380.573533000002</v>
      </c>
      <c r="H22" s="239">
        <v>86776.100000000006</v>
      </c>
      <c r="I22" s="239">
        <f t="shared" si="2822"/>
        <v>1.16978549559274e-002</v>
      </c>
      <c r="J22" s="242">
        <f t="shared" si="2823"/>
        <v>58.4892747796371</v>
      </c>
    </row>
    <row r="23">
      <c r="A23" s="235">
        <v>18</v>
      </c>
      <c r="B23" s="243" t="s">
        <v>87</v>
      </c>
      <c r="C23" s="237" t="s">
        <v>90</v>
      </c>
      <c r="D23" s="238">
        <v>337</v>
      </c>
      <c r="E23" s="231">
        <f>VLOOKUP(B:B,'[3]数据透视加工表'!$B:$C,2,0)</f>
        <v>211</v>
      </c>
      <c r="F23" s="239">
        <f t="shared" si="2821"/>
        <v>0</v>
      </c>
      <c r="G23" s="238">
        <v>111681.8088</v>
      </c>
      <c r="H23" s="239">
        <v>73584.369999999995</v>
      </c>
      <c r="I23" s="239">
        <f t="shared" si="2822"/>
        <v>0</v>
      </c>
      <c r="J23" s="242">
        <f t="shared" si="2823"/>
        <v>0</v>
      </c>
    </row>
    <row r="24">
      <c r="A24" s="235">
        <v>19</v>
      </c>
      <c r="B24" s="243" t="s">
        <v>88</v>
      </c>
      <c r="C24" s="237" t="s">
        <v>93</v>
      </c>
      <c r="D24" s="238">
        <v>121</v>
      </c>
      <c r="E24" s="231">
        <f>VLOOKUP(B:B,'[3]数据透视加工表'!$B:$C,2,0)</f>
        <v>26</v>
      </c>
      <c r="F24" s="239">
        <f t="shared" si="2821"/>
        <v>0</v>
      </c>
      <c r="G24" s="238">
        <v>78402.949999999997</v>
      </c>
      <c r="H24" s="239">
        <v>69176.604999999996</v>
      </c>
      <c r="I24" s="239">
        <f t="shared" si="2822"/>
        <v>0</v>
      </c>
      <c r="J24" s="242">
        <f t="shared" si="2823"/>
        <v>0</v>
      </c>
    </row>
    <row r="25">
      <c r="A25" s="235">
        <v>20</v>
      </c>
      <c r="B25" s="243" t="s">
        <v>89</v>
      </c>
      <c r="C25" s="237" t="s">
        <v>93</v>
      </c>
      <c r="D25" s="238">
        <v>194</v>
      </c>
      <c r="E25" s="231">
        <f>VLOOKUP(B:B,'[3]数据透视加工表'!$B:$C,2,0)</f>
        <v>57</v>
      </c>
      <c r="F25" s="239">
        <f t="shared" si="2821"/>
        <v>0</v>
      </c>
      <c r="G25" s="238">
        <v>60134.418984999997</v>
      </c>
      <c r="H25" s="239">
        <v>37924.362000000001</v>
      </c>
      <c r="I25" s="239">
        <f t="shared" si="2822"/>
        <v>0</v>
      </c>
      <c r="J25" s="242">
        <f t="shared" si="2823"/>
        <v>0</v>
      </c>
    </row>
    <row r="26">
      <c r="A26" s="235">
        <v>21</v>
      </c>
      <c r="B26" s="243" t="s">
        <v>92</v>
      </c>
      <c r="C26" s="237" t="s">
        <v>90</v>
      </c>
      <c r="D26" s="238">
        <v>20</v>
      </c>
      <c r="E26" s="231">
        <f>VLOOKUP(B:B,'[3]数据透视加工表'!$B:$C,2,0)</f>
        <v>40</v>
      </c>
      <c r="F26" s="239">
        <f t="shared" si="2821"/>
        <v>2.7643400138217e-003</v>
      </c>
      <c r="G26" s="238">
        <v>31502.948236</v>
      </c>
      <c r="H26" s="239">
        <v>723721.92579999997</v>
      </c>
      <c r="I26" s="239">
        <f t="shared" si="2822"/>
        <v>9.7561357521631795e-002</v>
      </c>
      <c r="J26" s="242">
        <f t="shared" si="2823"/>
        <v>501.628487677267</v>
      </c>
    </row>
    <row r="27">
      <c r="A27" s="235">
        <v>22</v>
      </c>
      <c r="B27" s="243" t="s">
        <v>95</v>
      </c>
      <c r="C27" s="237" t="s">
        <v>93</v>
      </c>
      <c r="D27" s="238">
        <v>104</v>
      </c>
      <c r="E27" s="231">
        <f>VLOOKUP(B:B,'[3]数据透视加工表'!$B:$C,2,0)</f>
        <v>116</v>
      </c>
      <c r="F27" s="239">
        <f t="shared" si="2821"/>
        <v>8.0165860400829292e-003</v>
      </c>
      <c r="G27" s="238">
        <v>226317.23355</v>
      </c>
      <c r="H27" s="239">
        <v>85863.255999999994</v>
      </c>
      <c r="I27" s="239">
        <f t="shared" si="2822"/>
        <v>0</v>
      </c>
      <c r="J27" s="242">
        <f t="shared" si="2823"/>
        <v>40.082930200414701</v>
      </c>
    </row>
    <row r="28">
      <c r="A28" s="235">
        <v>23</v>
      </c>
      <c r="B28" s="243" t="s">
        <v>96</v>
      </c>
      <c r="C28" s="237" t="s">
        <v>93</v>
      </c>
      <c r="D28" s="238">
        <v>84</v>
      </c>
      <c r="E28" s="231">
        <f>VLOOKUP(B:B,'[3]数据透视加工表'!$B:$C,2,0)</f>
        <v>61</v>
      </c>
      <c r="F28" s="239">
        <f t="shared" si="2821"/>
        <v>0</v>
      </c>
      <c r="G28" s="238">
        <v>56017.800000000003</v>
      </c>
      <c r="H28" s="239">
        <v>35603.400000000001</v>
      </c>
      <c r="I28" s="239">
        <f t="shared" si="2822"/>
        <v>0</v>
      </c>
      <c r="J28" s="242">
        <f t="shared" si="2823"/>
        <v>0</v>
      </c>
    </row>
    <row r="29">
      <c r="A29" s="235">
        <v>24</v>
      </c>
      <c r="B29" s="243" t="s">
        <v>97</v>
      </c>
      <c r="C29" s="237" t="s">
        <v>90</v>
      </c>
      <c r="D29" s="238">
        <v>42</v>
      </c>
      <c r="E29" s="231">
        <f>VLOOKUP(B:B,'[3]数据透视加工表'!$B:$C,2,0)</f>
        <v>32</v>
      </c>
      <c r="F29" s="239">
        <f t="shared" si="2821"/>
        <v>0</v>
      </c>
      <c r="G29" s="238">
        <v>43525.160000000003</v>
      </c>
      <c r="H29" s="239">
        <v>17860.5</v>
      </c>
      <c r="I29" s="239">
        <f t="shared" si="2822"/>
        <v>0</v>
      </c>
      <c r="J29" s="242">
        <f t="shared" si="2823"/>
        <v>0</v>
      </c>
    </row>
    <row r="30">
      <c r="A30" s="235">
        <v>25</v>
      </c>
      <c r="B30" s="243" t="s">
        <v>98</v>
      </c>
      <c r="C30" s="237" t="s">
        <v>78</v>
      </c>
      <c r="D30" s="238">
        <v>160</v>
      </c>
      <c r="E30" s="231">
        <f>VLOOKUP(B:B,'[3]数据透视加工表'!$B:$C,2,0)</f>
        <v>62</v>
      </c>
      <c r="F30" s="239">
        <f t="shared" si="2821"/>
        <v>0</v>
      </c>
      <c r="G30" s="238">
        <v>15518.857</v>
      </c>
      <c r="H30" s="239">
        <v>27618.481</v>
      </c>
      <c r="I30" s="239">
        <f t="shared" si="2822"/>
        <v>3.7231102209137898e-003</v>
      </c>
      <c r="J30" s="242">
        <f t="shared" si="2823"/>
        <v>18.615551104569001</v>
      </c>
    </row>
    <row r="31" hidden="1">
      <c r="A31" s="228"/>
      <c r="B31" s="229" t="s">
        <v>455</v>
      </c>
      <c r="C31" s="230"/>
      <c r="D31" s="231"/>
      <c r="E31" s="231"/>
      <c r="F31" s="232"/>
      <c r="G31" s="231"/>
      <c r="H31" s="232">
        <v>59420.551090000001</v>
      </c>
      <c r="I31" s="239">
        <f>IF((H31-G31)&gt;0,1*H31/$H$149,0)</f>
        <v>8.0101893038762393e-003</v>
      </c>
      <c r="J31" s="234"/>
    </row>
    <row r="32">
      <c r="A32" s="235">
        <v>26</v>
      </c>
      <c r="B32" s="243" t="s">
        <v>101</v>
      </c>
      <c r="C32" s="237" t="s">
        <v>78</v>
      </c>
      <c r="D32" s="238">
        <v>134</v>
      </c>
      <c r="E32" s="231">
        <f>VLOOKUP(B:B,'[3]数据透视加工表'!$B:$C,2,0)</f>
        <v>104</v>
      </c>
      <c r="F32" s="239">
        <f t="shared" si="2821"/>
        <v>0</v>
      </c>
      <c r="G32" s="238">
        <v>7348.3919999999998</v>
      </c>
      <c r="H32" s="239">
        <v>73246.3125</v>
      </c>
      <c r="I32" s="239">
        <f t="shared" ref="I32:I40" si="2824">IF((H32-G32)&gt;0,H32/$H$149,0)</f>
        <v>9.8739715161379003e-003</v>
      </c>
      <c r="J32" s="242">
        <f t="shared" si="2823"/>
        <v>49.369857580689498</v>
      </c>
    </row>
    <row r="33">
      <c r="A33" s="235">
        <v>27</v>
      </c>
      <c r="B33" s="243" t="s">
        <v>102</v>
      </c>
      <c r="C33" s="237" t="s">
        <v>78</v>
      </c>
      <c r="D33" s="238">
        <v>200</v>
      </c>
      <c r="E33" s="231">
        <f>VLOOKUP(B:B,'[3]数据透视加工表'!$B:$C,2,0)</f>
        <v>263</v>
      </c>
      <c r="F33" s="239">
        <f t="shared" si="2821"/>
        <v>1.8175535590877701e-002</v>
      </c>
      <c r="G33" s="238">
        <v>15917.2456</v>
      </c>
      <c r="H33" s="239">
        <v>15800</v>
      </c>
      <c r="I33" s="239">
        <f t="shared" si="2824"/>
        <v>0</v>
      </c>
      <c r="J33" s="242">
        <f t="shared" si="2823"/>
        <v>90.877677954388403</v>
      </c>
    </row>
    <row r="34">
      <c r="A34" s="235">
        <v>28</v>
      </c>
      <c r="B34" s="243" t="s">
        <v>103</v>
      </c>
      <c r="C34" s="237" t="s">
        <v>78</v>
      </c>
      <c r="D34" s="238">
        <v>40</v>
      </c>
      <c r="E34" s="231">
        <f>VLOOKUP(B:B,'[3]数据透视加工表'!$B:$C,2,0)</f>
        <v>176</v>
      </c>
      <c r="F34" s="239">
        <f t="shared" si="2821"/>
        <v>1.21630960608155e-002</v>
      </c>
      <c r="G34" s="238">
        <v>16005.3837</v>
      </c>
      <c r="H34" s="239">
        <v>16894.709999999999</v>
      </c>
      <c r="I34" s="239">
        <f t="shared" si="2824"/>
        <v>2.2774919258005e-003</v>
      </c>
      <c r="J34" s="242">
        <f t="shared" si="2823"/>
        <v>72.202939933079904</v>
      </c>
    </row>
    <row r="35">
      <c r="A35" s="235">
        <v>29</v>
      </c>
      <c r="B35" s="243" t="s">
        <v>104</v>
      </c>
      <c r="C35" s="237" t="s">
        <v>90</v>
      </c>
      <c r="D35" s="238">
        <v>38</v>
      </c>
      <c r="E35" s="231">
        <f>VLOOKUP(B:B,'[3]数据透视加工表'!$B:$C,2,0)</f>
        <v>19</v>
      </c>
      <c r="F35" s="239">
        <f t="shared" si="2821"/>
        <v>0</v>
      </c>
      <c r="G35" s="238">
        <v>22308.459999999999</v>
      </c>
      <c r="H35" s="239">
        <v>43123.32</v>
      </c>
      <c r="I35" s="239">
        <f t="shared" si="2824"/>
        <v>5.8132405417856301e-003</v>
      </c>
      <c r="J35" s="242">
        <f t="shared" si="2823"/>
        <v>29.066202708928198</v>
      </c>
    </row>
    <row r="36">
      <c r="A36" s="235">
        <v>30</v>
      </c>
      <c r="B36" s="243" t="s">
        <v>105</v>
      </c>
      <c r="C36" s="237" t="s">
        <v>90</v>
      </c>
      <c r="D36" s="238">
        <v>178</v>
      </c>
      <c r="E36" s="231">
        <f>VLOOKUP(B:B,'[3]数据透视加工表'!$B:$C,2,0)</f>
        <v>67</v>
      </c>
      <c r="F36" s="239">
        <f t="shared" si="2821"/>
        <v>0</v>
      </c>
      <c r="G36" s="238">
        <v>18725.970000000001</v>
      </c>
      <c r="H36" s="239">
        <v>385201.26510000002</v>
      </c>
      <c r="I36" s="239">
        <f t="shared" si="2824"/>
        <v>5.1927068950777297e-002</v>
      </c>
      <c r="J36" s="242">
        <f t="shared" si="2823"/>
        <v>259.63534475388701</v>
      </c>
    </row>
    <row r="37">
      <c r="A37" s="235">
        <v>31</v>
      </c>
      <c r="B37" s="243" t="s">
        <v>106</v>
      </c>
      <c r="C37" s="237" t="s">
        <v>90</v>
      </c>
      <c r="D37" s="238">
        <v>294</v>
      </c>
      <c r="E37" s="231">
        <f>VLOOKUP(B:B,'[3]数据透视加工表'!$B:$C,2,0)</f>
        <v>123</v>
      </c>
      <c r="F37" s="239">
        <f t="shared" si="2821"/>
        <v>0</v>
      </c>
      <c r="G37" s="238">
        <v>31713.343000000001</v>
      </c>
      <c r="H37" s="239">
        <v>10850.4</v>
      </c>
      <c r="I37" s="239">
        <f t="shared" si="2824"/>
        <v>0</v>
      </c>
      <c r="J37" s="242">
        <f t="shared" si="2823"/>
        <v>0</v>
      </c>
    </row>
    <row r="38">
      <c r="A38" s="235">
        <v>32</v>
      </c>
      <c r="B38" s="243" t="s">
        <v>107</v>
      </c>
      <c r="C38" s="237" t="s">
        <v>93</v>
      </c>
      <c r="D38" s="238">
        <v>532</v>
      </c>
      <c r="E38" s="231">
        <f>VLOOKUP(B:B,'[3]数据透视加工表'!$B:$C,2,0)</f>
        <v>603</v>
      </c>
      <c r="F38" s="239">
        <f t="shared" si="2821"/>
        <v>4.1672425708362097e-002</v>
      </c>
      <c r="G38" s="238">
        <v>147668.28460000001</v>
      </c>
      <c r="H38" s="239">
        <v>96493</v>
      </c>
      <c r="I38" s="239">
        <f t="shared" si="2824"/>
        <v>0</v>
      </c>
      <c r="J38" s="242">
        <f t="shared" si="2823"/>
        <v>208.36212854181099</v>
      </c>
    </row>
    <row r="39">
      <c r="A39" s="235">
        <v>33</v>
      </c>
      <c r="B39" s="243" t="s">
        <v>108</v>
      </c>
      <c r="C39" s="237" t="s">
        <v>78</v>
      </c>
      <c r="D39" s="238">
        <v>76</v>
      </c>
      <c r="E39" s="231">
        <f>VLOOKUP(B:B,'[3]数据透视加工表'!$B:$C,2,0)</f>
        <v>64</v>
      </c>
      <c r="F39" s="239">
        <f t="shared" si="2821"/>
        <v>0</v>
      </c>
      <c r="G39" s="238">
        <v>6146.6054999999997</v>
      </c>
      <c r="H39" s="239">
        <v>7866.9200000000001</v>
      </c>
      <c r="I39" s="239">
        <f t="shared" si="2824"/>
        <v>1.0605004040269699e-003</v>
      </c>
      <c r="J39" s="242">
        <f t="shared" si="2823"/>
        <v>5.3025020201348401</v>
      </c>
    </row>
    <row r="40">
      <c r="A40" s="235">
        <v>34</v>
      </c>
      <c r="B40" s="243" t="s">
        <v>109</v>
      </c>
      <c r="C40" s="237" t="s">
        <v>93</v>
      </c>
      <c r="D40" s="238">
        <v>229</v>
      </c>
      <c r="E40" s="231">
        <f>VLOOKUP(B:B,'[3]数据透视加工表'!$B:$C,2,0)</f>
        <v>102</v>
      </c>
      <c r="F40" s="239">
        <f t="shared" si="2821"/>
        <v>0</v>
      </c>
      <c r="G40" s="238">
        <v>101984.57000000001</v>
      </c>
      <c r="H40" s="239">
        <v>10553.02</v>
      </c>
      <c r="I40" s="239">
        <f t="shared" si="2824"/>
        <v>0</v>
      </c>
      <c r="J40" s="242">
        <f t="shared" si="2823"/>
        <v>0</v>
      </c>
    </row>
    <row r="41" hidden="1">
      <c r="A41" s="228"/>
      <c r="B41" s="229" t="s">
        <v>456</v>
      </c>
      <c r="C41" s="230"/>
      <c r="D41" s="231"/>
      <c r="E41" s="231"/>
      <c r="F41" s="232"/>
      <c r="G41" s="231"/>
      <c r="H41" s="232">
        <v>31200.0458</v>
      </c>
      <c r="I41" s="239">
        <f>IF((H41-G41)&gt;0,1*H41/$H$149,0)</f>
        <v>4.2059231791552404e-003</v>
      </c>
      <c r="J41" s="234"/>
    </row>
    <row r="42">
      <c r="A42" s="235">
        <v>35</v>
      </c>
      <c r="B42" s="243" t="s">
        <v>112</v>
      </c>
      <c r="C42" s="237" t="s">
        <v>78</v>
      </c>
      <c r="D42" s="238">
        <v>151</v>
      </c>
      <c r="E42" s="231">
        <f>VLOOKUP(B:B,'[3]数据透视加工表'!$B:$C,2,0)</f>
        <v>27</v>
      </c>
      <c r="F42" s="239">
        <f t="shared" si="2821"/>
        <v>0</v>
      </c>
      <c r="G42" s="238">
        <v>4634.1472000000003</v>
      </c>
      <c r="H42" s="239">
        <v>6976.3344999999999</v>
      </c>
      <c r="I42" s="239">
        <f t="shared" ref="I42:I50" si="2825">IF((H42-G42)&gt;0,H42/$H$149,0)</f>
        <v>9.4044499700991996e-004</v>
      </c>
      <c r="J42" s="242">
        <f t="shared" si="2823"/>
        <v>4.7022249850496003</v>
      </c>
    </row>
    <row r="43">
      <c r="A43" s="235">
        <v>36</v>
      </c>
      <c r="B43" s="243" t="s">
        <v>113</v>
      </c>
      <c r="C43" s="237" t="s">
        <v>78</v>
      </c>
      <c r="D43" s="238">
        <v>85</v>
      </c>
      <c r="E43" s="231">
        <f>VLOOKUP(B:B,'[3]数据透视加工表'!$B:$C,2,0)</f>
        <v>63</v>
      </c>
      <c r="F43" s="239">
        <f t="shared" si="2821"/>
        <v>0</v>
      </c>
      <c r="G43" s="238">
        <v>5768.1400000000003</v>
      </c>
      <c r="H43" s="239">
        <v>18865.349999999999</v>
      </c>
      <c r="I43" s="239">
        <f t="shared" si="2825"/>
        <v>2.5431441144832001e-003</v>
      </c>
      <c r="J43" s="242">
        <f t="shared" si="2823"/>
        <v>12.715720572416</v>
      </c>
    </row>
    <row r="44">
      <c r="A44" s="235">
        <v>37</v>
      </c>
      <c r="B44" s="243" t="s">
        <v>114</v>
      </c>
      <c r="C44" s="237" t="s">
        <v>78</v>
      </c>
      <c r="D44" s="238">
        <v>103</v>
      </c>
      <c r="E44" s="231">
        <f>VLOOKUP(B:B,'[3]数据透视加工表'!$B:$C,2,0)</f>
        <v>102</v>
      </c>
      <c r="F44" s="239">
        <f t="shared" si="2821"/>
        <v>0</v>
      </c>
      <c r="G44" s="238">
        <v>5730.6999999999998</v>
      </c>
      <c r="H44" s="239">
        <v>9041.8909999999996</v>
      </c>
      <c r="I44" s="239">
        <f t="shared" si="2825"/>
        <v>1.2188924075327799e-003</v>
      </c>
      <c r="J44" s="242">
        <f t="shared" si="2823"/>
        <v>6.09446203766392</v>
      </c>
    </row>
    <row r="45">
      <c r="A45" s="235">
        <v>38</v>
      </c>
      <c r="B45" s="243" t="s">
        <v>115</v>
      </c>
      <c r="C45" s="237" t="s">
        <v>78</v>
      </c>
      <c r="D45" s="238">
        <v>43</v>
      </c>
      <c r="E45" s="231">
        <f>VLOOKUP(B:B,'[3]数据透视加工表'!$B:$C,2,0)</f>
        <v>57</v>
      </c>
      <c r="F45" s="239">
        <f t="shared" si="2821"/>
        <v>3.9391845196959201e-003</v>
      </c>
      <c r="G45" s="238">
        <v>3425.9151999999999</v>
      </c>
      <c r="H45" s="239">
        <v>5246</v>
      </c>
      <c r="I45" s="239">
        <f t="shared" si="2825"/>
        <v>7.0718719899598296e-004</v>
      </c>
      <c r="J45" s="242">
        <f t="shared" si="2823"/>
        <v>23.231858593459499</v>
      </c>
    </row>
    <row r="46">
      <c r="A46" s="235">
        <v>39</v>
      </c>
      <c r="B46" s="243" t="s">
        <v>116</v>
      </c>
      <c r="C46" s="237" t="s">
        <v>78</v>
      </c>
      <c r="D46" s="238">
        <v>70</v>
      </c>
      <c r="E46" s="231">
        <f>VLOOKUP(B:B,'[3]数据透视加工表'!$B:$C,2,0)</f>
        <v>73</v>
      </c>
      <c r="F46" s="239">
        <f t="shared" si="2821"/>
        <v>5.0449205252246004e-003</v>
      </c>
      <c r="G46" s="238">
        <v>4950.4499999999998</v>
      </c>
      <c r="H46" s="239">
        <v>85714.436000000002</v>
      </c>
      <c r="I46" s="239">
        <f t="shared" si="2825"/>
        <v>1.15547373062067e-002</v>
      </c>
      <c r="J46" s="242">
        <f t="shared" si="2823"/>
        <v>82.998289157156606</v>
      </c>
    </row>
    <row r="47">
      <c r="A47" s="235">
        <v>40</v>
      </c>
      <c r="B47" s="243" t="s">
        <v>117</v>
      </c>
      <c r="C47" s="237" t="s">
        <v>78</v>
      </c>
      <c r="D47" s="238">
        <v>60</v>
      </c>
      <c r="E47" s="231">
        <f>VLOOKUP(B:B,'[3]数据透视加工表'!$B:$C,2,0)</f>
        <v>45</v>
      </c>
      <c r="F47" s="239">
        <f t="shared" si="2821"/>
        <v>0</v>
      </c>
      <c r="G47" s="238">
        <v>5419.1800000000003</v>
      </c>
      <c r="H47" s="239">
        <v>19501.77</v>
      </c>
      <c r="I47" s="239">
        <f t="shared" si="2825"/>
        <v>2.62893673308499e-003</v>
      </c>
      <c r="J47" s="242">
        <f t="shared" si="2823"/>
        <v>13.144683665424999</v>
      </c>
    </row>
    <row r="48">
      <c r="A48" s="235">
        <v>41</v>
      </c>
      <c r="B48" s="243" t="s">
        <v>118</v>
      </c>
      <c r="C48" s="237" t="s">
        <v>78</v>
      </c>
      <c r="D48" s="238">
        <v>93</v>
      </c>
      <c r="E48" s="231">
        <f>VLOOKUP(B:B,'[3]数据透视加工表'!$B:$C,2,0)</f>
        <v>41</v>
      </c>
      <c r="F48" s="239">
        <f t="shared" si="2821"/>
        <v>0</v>
      </c>
      <c r="G48" s="238">
        <v>5023.3999999999996</v>
      </c>
      <c r="H48" s="239">
        <v>11157.280000000001</v>
      </c>
      <c r="I48" s="239">
        <f t="shared" si="2825"/>
        <v>1.5040574898234601e-003</v>
      </c>
      <c r="J48" s="242">
        <f t="shared" si="2823"/>
        <v>7.5202874491173199</v>
      </c>
    </row>
    <row r="49">
      <c r="A49" s="235">
        <v>42</v>
      </c>
      <c r="B49" s="243" t="s">
        <v>119</v>
      </c>
      <c r="C49" s="237" t="s">
        <v>78</v>
      </c>
      <c r="D49" s="238">
        <v>98</v>
      </c>
      <c r="E49" s="231">
        <f>VLOOKUP(B:B,'[3]数据透视加工表'!$B:$C,2,0)</f>
        <v>275</v>
      </c>
      <c r="F49" s="239">
        <f t="shared" si="2821"/>
        <v>1.90048375950242e-002</v>
      </c>
      <c r="G49" s="238">
        <v>7419.7370000000001</v>
      </c>
      <c r="H49" s="239">
        <v>34864.980000000003</v>
      </c>
      <c r="I49" s="239">
        <f t="shared" si="2825"/>
        <v>4.6999747520493603e-003</v>
      </c>
      <c r="J49" s="242">
        <f t="shared" si="2823"/>
        <v>118.52406173536799</v>
      </c>
    </row>
    <row r="50">
      <c r="A50" s="235">
        <v>43</v>
      </c>
      <c r="B50" s="243" t="s">
        <v>120</v>
      </c>
      <c r="C50" s="237" t="s">
        <v>78</v>
      </c>
      <c r="D50" s="238">
        <v>31</v>
      </c>
      <c r="E50" s="231">
        <f>VLOOKUP(B:B,'[3]数据透视加工表'!$B:$C,2,0)</f>
        <v>72</v>
      </c>
      <c r="F50" s="239">
        <f t="shared" si="2821"/>
        <v>4.9758120248790602e-003</v>
      </c>
      <c r="G50" s="238">
        <v>4887.8362999999999</v>
      </c>
      <c r="H50" s="239">
        <v>18478.52</v>
      </c>
      <c r="I50" s="239">
        <f t="shared" si="2825"/>
        <v>2.4909974838717599e-003</v>
      </c>
      <c r="J50" s="242">
        <f t="shared" si="2823"/>
        <v>37.334047543754103</v>
      </c>
    </row>
    <row r="51" hidden="1">
      <c r="A51" s="228"/>
      <c r="B51" s="229" t="s">
        <v>380</v>
      </c>
      <c r="C51" s="230"/>
      <c r="D51" s="231"/>
      <c r="E51" s="231"/>
      <c r="F51" s="232"/>
      <c r="G51" s="231"/>
      <c r="H51" s="232">
        <v>78423.619999999995</v>
      </c>
      <c r="I51" s="239">
        <f>IF((H51-G51)&gt;0,1*H51/$H$149,0)</f>
        <v>1.05718986204585e-002</v>
      </c>
      <c r="J51" s="234"/>
    </row>
    <row r="52">
      <c r="A52" s="235">
        <v>44</v>
      </c>
      <c r="B52" s="243" t="s">
        <v>123</v>
      </c>
      <c r="C52" s="237" t="s">
        <v>78</v>
      </c>
      <c r="D52" s="238">
        <v>117</v>
      </c>
      <c r="E52" s="231">
        <f>VLOOKUP(B:B,'[3]数据透视加工表'!$B:$C,2,0)</f>
        <v>76</v>
      </c>
      <c r="F52" s="239">
        <f t="shared" si="2821"/>
        <v>0</v>
      </c>
      <c r="G52" s="238">
        <v>6218.6499999999996</v>
      </c>
      <c r="H52" s="239">
        <v>19334.299999999999</v>
      </c>
      <c r="I52" s="239">
        <f t="shared" ref="I52:I64" si="2826">IF((H52-G52)&gt;0,H52/$H$149,0)</f>
        <v>2.60636093434007e-003</v>
      </c>
      <c r="J52" s="242">
        <f t="shared" si="2823"/>
        <v>13.031804671700399</v>
      </c>
    </row>
    <row r="53">
      <c r="A53" s="235">
        <v>45</v>
      </c>
      <c r="B53" s="243" t="s">
        <v>124</v>
      </c>
      <c r="C53" s="237" t="s">
        <v>78</v>
      </c>
      <c r="D53" s="238">
        <v>87</v>
      </c>
      <c r="E53" s="231">
        <f>VLOOKUP(B:B,'[3]数据透视加工表'!$B:$C,2,0)</f>
        <v>113</v>
      </c>
      <c r="F53" s="239">
        <f t="shared" si="2821"/>
        <v>7.8092605390462999e-003</v>
      </c>
      <c r="G53" s="238">
        <v>10654.9272</v>
      </c>
      <c r="H53" s="239">
        <v>35205.410000000003</v>
      </c>
      <c r="I53" s="239">
        <f t="shared" si="2826"/>
        <v>4.74586642916606e-003</v>
      </c>
      <c r="J53" s="242">
        <f t="shared" si="2823"/>
        <v>62.775634841061802</v>
      </c>
    </row>
    <row r="54">
      <c r="A54" s="235">
        <v>46</v>
      </c>
      <c r="B54" s="243" t="s">
        <v>125</v>
      </c>
      <c r="C54" s="237" t="s">
        <v>78</v>
      </c>
      <c r="D54" s="238">
        <v>23</v>
      </c>
      <c r="E54" s="231">
        <f>VLOOKUP(B:B,'[3]数据透视加工表'!$B:$C,2,0)</f>
        <v>56</v>
      </c>
      <c r="F54" s="239">
        <f t="shared" si="2821"/>
        <v>3.8700760193503799e-003</v>
      </c>
      <c r="G54" s="238">
        <v>16541.1574</v>
      </c>
      <c r="H54" s="239">
        <v>13422.6823</v>
      </c>
      <c r="I54" s="239">
        <f t="shared" si="2826"/>
        <v>0</v>
      </c>
      <c r="J54" s="242">
        <f t="shared" si="2823"/>
        <v>19.350380096751898</v>
      </c>
    </row>
    <row r="55">
      <c r="A55" s="235">
        <v>47</v>
      </c>
      <c r="B55" s="243" t="s">
        <v>126</v>
      </c>
      <c r="C55" s="237" t="s">
        <v>90</v>
      </c>
      <c r="D55" s="238">
        <v>212</v>
      </c>
      <c r="E55" s="231">
        <f>VLOOKUP(B:B,'[3]数据透视加工表'!$B:$C,2,0)</f>
        <v>175</v>
      </c>
      <c r="F55" s="239">
        <f t="shared" si="2821"/>
        <v>0</v>
      </c>
      <c r="G55" s="238">
        <v>31529.290000000001</v>
      </c>
      <c r="H55" s="239">
        <v>30710.900000000001</v>
      </c>
      <c r="I55" s="239">
        <f t="shared" si="2826"/>
        <v>0</v>
      </c>
      <c r="J55" s="242">
        <f t="shared" si="2823"/>
        <v>0</v>
      </c>
    </row>
    <row r="56">
      <c r="A56" s="235">
        <v>48</v>
      </c>
      <c r="B56" s="243" t="s">
        <v>127</v>
      </c>
      <c r="C56" s="237" t="s">
        <v>78</v>
      </c>
      <c r="D56" s="238">
        <v>20</v>
      </c>
      <c r="E56" s="231">
        <f>VLOOKUP(B:B,'[3]数据透视加工表'!$B:$C,2,0)</f>
        <v>84</v>
      </c>
      <c r="F56" s="239">
        <f t="shared" si="2821"/>
        <v>5.8051140290255702e-003</v>
      </c>
      <c r="G56" s="238">
        <v>11553.5111</v>
      </c>
      <c r="H56" s="239">
        <v>49912.514000000003</v>
      </c>
      <c r="I56" s="239">
        <f t="shared" si="2826"/>
        <v>6.7284580576644597e-003</v>
      </c>
      <c r="J56" s="242">
        <f t="shared" si="2823"/>
        <v>62.667860433450201</v>
      </c>
    </row>
    <row r="57">
      <c r="A57" s="235">
        <v>49</v>
      </c>
      <c r="B57" s="243" t="s">
        <v>128</v>
      </c>
      <c r="C57" s="237" t="s">
        <v>90</v>
      </c>
      <c r="D57" s="238">
        <v>92</v>
      </c>
      <c r="E57" s="231">
        <f>VLOOKUP(B:B,'[3]数据透视加工表'!$B:$C,2,0)</f>
        <v>76</v>
      </c>
      <c r="F57" s="239">
        <f t="shared" si="2821"/>
        <v>0</v>
      </c>
      <c r="G57" s="238">
        <v>23632.889999999999</v>
      </c>
      <c r="H57" s="239">
        <v>52709.779999999999</v>
      </c>
      <c r="I57" s="239">
        <f t="shared" si="2826"/>
        <v>7.1055435909063002e-003</v>
      </c>
      <c r="J57" s="242">
        <f t="shared" si="2823"/>
        <v>35.527717954531497</v>
      </c>
    </row>
    <row r="58">
      <c r="A58" s="235">
        <v>50</v>
      </c>
      <c r="B58" s="243" t="s">
        <v>129</v>
      </c>
      <c r="C58" s="237" t="s">
        <v>78</v>
      </c>
      <c r="D58" s="238">
        <v>127</v>
      </c>
      <c r="E58" s="231">
        <f>VLOOKUP(B:B,'[3]数据透视加工表'!$B:$C,2,0)</f>
        <v>66</v>
      </c>
      <c r="F58" s="239">
        <f t="shared" si="2821"/>
        <v>0</v>
      </c>
      <c r="G58" s="238">
        <v>14010.5581</v>
      </c>
      <c r="H58" s="239">
        <v>38990.519999999997</v>
      </c>
      <c r="I58" s="239">
        <f t="shared" si="2826"/>
        <v>5.2561183046505597e-003</v>
      </c>
      <c r="J58" s="242">
        <f t="shared" si="2823"/>
        <v>26.280591523252799</v>
      </c>
    </row>
    <row r="59">
      <c r="A59" s="235">
        <v>51</v>
      </c>
      <c r="B59" s="243" t="s">
        <v>130</v>
      </c>
      <c r="C59" s="237" t="s">
        <v>90</v>
      </c>
      <c r="D59" s="238">
        <v>135</v>
      </c>
      <c r="E59" s="231">
        <f>VLOOKUP(B:B,'[3]数据透视加工表'!$B:$C,2,0)</f>
        <v>94</v>
      </c>
      <c r="F59" s="239">
        <f t="shared" si="2821"/>
        <v>0</v>
      </c>
      <c r="G59" s="238">
        <v>18637.949511999999</v>
      </c>
      <c r="H59" s="239">
        <v>38782.035000000003</v>
      </c>
      <c r="I59" s="239">
        <f t="shared" si="2826"/>
        <v>5.2280134775093698e-003</v>
      </c>
      <c r="J59" s="242">
        <f t="shared" si="2823"/>
        <v>26.1400673875469</v>
      </c>
    </row>
    <row r="60">
      <c r="A60" s="235">
        <v>52</v>
      </c>
      <c r="B60" s="243" t="s">
        <v>131</v>
      </c>
      <c r="C60" s="237" t="s">
        <v>93</v>
      </c>
      <c r="D60" s="238">
        <v>175</v>
      </c>
      <c r="E60" s="231">
        <f>VLOOKUP(B:B,'[3]数据透视加工表'!$B:$C,2,0)</f>
        <v>181</v>
      </c>
      <c r="F60" s="239">
        <f t="shared" si="2821"/>
        <v>1.25086385625432e-002</v>
      </c>
      <c r="G60" s="238">
        <v>42001.419999999998</v>
      </c>
      <c r="H60" s="239">
        <v>126668.63</v>
      </c>
      <c r="I60" s="239">
        <f t="shared" si="2826"/>
        <v>1.70755687476856e-002</v>
      </c>
      <c r="J60" s="242">
        <f t="shared" si="2823"/>
        <v>147.921036551144</v>
      </c>
    </row>
    <row r="61">
      <c r="A61" s="235">
        <v>53</v>
      </c>
      <c r="B61" s="243" t="s">
        <v>132</v>
      </c>
      <c r="C61" s="237" t="s">
        <v>93</v>
      </c>
      <c r="D61" s="238">
        <v>279</v>
      </c>
      <c r="E61" s="231">
        <f>VLOOKUP(B:B,'[3]数据透视加工表'!$B:$C,2,0)</f>
        <v>96</v>
      </c>
      <c r="F61" s="239">
        <f t="shared" si="2821"/>
        <v>0</v>
      </c>
      <c r="G61" s="238">
        <v>38535.915000000001</v>
      </c>
      <c r="H61" s="239">
        <v>29863.790000000001</v>
      </c>
      <c r="I61" s="239">
        <f t="shared" si="2826"/>
        <v>0</v>
      </c>
      <c r="J61" s="242">
        <f t="shared" si="2823"/>
        <v>0</v>
      </c>
    </row>
    <row r="62">
      <c r="A62" s="235">
        <v>54</v>
      </c>
      <c r="B62" s="243" t="s">
        <v>133</v>
      </c>
      <c r="C62" s="237" t="s">
        <v>93</v>
      </c>
      <c r="D62" s="238">
        <v>253</v>
      </c>
      <c r="E62" s="231">
        <f>VLOOKUP(B:B,'[3]数据透视加工表'!$B:$C,2,0)</f>
        <v>198</v>
      </c>
      <c r="F62" s="239">
        <f t="shared" si="2821"/>
        <v>0</v>
      </c>
      <c r="G62" s="238">
        <v>47053.589999999997</v>
      </c>
      <c r="H62" s="239">
        <v>14695.35</v>
      </c>
      <c r="I62" s="239">
        <f t="shared" si="2826"/>
        <v>0</v>
      </c>
      <c r="J62" s="242">
        <f t="shared" si="2823"/>
        <v>0</v>
      </c>
    </row>
    <row r="63">
      <c r="A63" s="235">
        <v>55</v>
      </c>
      <c r="B63" s="243" t="s">
        <v>134</v>
      </c>
      <c r="C63" s="237" t="s">
        <v>93</v>
      </c>
      <c r="D63" s="238">
        <v>313</v>
      </c>
      <c r="E63" s="231">
        <f>VLOOKUP(B:B,'[3]数据透视加工表'!$B:$C,2,0)</f>
        <v>192</v>
      </c>
      <c r="F63" s="239">
        <f t="shared" si="2821"/>
        <v>0</v>
      </c>
      <c r="G63" s="238">
        <v>38628.565999999999</v>
      </c>
      <c r="H63" s="239">
        <v>18006.240000000002</v>
      </c>
      <c r="I63" s="239">
        <f t="shared" si="2826"/>
        <v>0</v>
      </c>
      <c r="J63" s="242">
        <f t="shared" si="2823"/>
        <v>0</v>
      </c>
    </row>
    <row r="64">
      <c r="A64" s="235">
        <v>56</v>
      </c>
      <c r="B64" s="243" t="s">
        <v>135</v>
      </c>
      <c r="C64" s="237" t="s">
        <v>78</v>
      </c>
      <c r="D64" s="238">
        <v>173</v>
      </c>
      <c r="E64" s="231">
        <f>VLOOKUP(B:B,'[3]数据透视加工表'!$B:$C,2,0)</f>
        <v>461</v>
      </c>
      <c r="F64" s="239">
        <f t="shared" si="2821"/>
        <v>3.1859018659295101e-002</v>
      </c>
      <c r="G64" s="238">
        <v>10674.690000000001</v>
      </c>
      <c r="H64" s="239">
        <v>37585.699999999997</v>
      </c>
      <c r="I64" s="239">
        <f t="shared" si="2826"/>
        <v>5.0667414992953304e-003</v>
      </c>
      <c r="J64" s="242">
        <f t="shared" si="2823"/>
        <v>184.62880079295201</v>
      </c>
    </row>
    <row r="65" hidden="1">
      <c r="A65" s="228"/>
      <c r="B65" s="229" t="s">
        <v>381</v>
      </c>
      <c r="C65" s="230"/>
      <c r="D65" s="231"/>
      <c r="E65" s="231"/>
      <c r="F65" s="232"/>
      <c r="G65" s="231"/>
      <c r="H65" s="232">
        <v>62684.970000000001</v>
      </c>
      <c r="I65" s="239">
        <f>IF((H65-G65)&gt;0,1*H65/$H$149,0)</f>
        <v>8.4502494001996199e-003</v>
      </c>
      <c r="J65" s="234"/>
    </row>
    <row r="66">
      <c r="A66" s="235">
        <v>57</v>
      </c>
      <c r="B66" s="243" t="s">
        <v>138</v>
      </c>
      <c r="C66" s="237" t="s">
        <v>90</v>
      </c>
      <c r="D66" s="238">
        <v>34</v>
      </c>
      <c r="E66" s="231">
        <f>VLOOKUP(B:B,'[3]数据透视加工表'!$B:$C,2,0)</f>
        <v>120</v>
      </c>
      <c r="F66" s="239">
        <f t="shared" si="2821"/>
        <v>8.2930200414651004e-003</v>
      </c>
      <c r="G66" s="238">
        <v>26741.470000000001</v>
      </c>
      <c r="H66" s="239">
        <v>23682.414000000001</v>
      </c>
      <c r="I66" s="239">
        <f t="shared" ref="I66:I73" si="2827">IF((H66-G66)&gt;0,H66/$H$149,0)</f>
        <v>0</v>
      </c>
      <c r="J66" s="242">
        <f t="shared" si="2823"/>
        <v>41.465100207325499</v>
      </c>
    </row>
    <row r="67">
      <c r="A67" s="235">
        <v>58</v>
      </c>
      <c r="B67" s="243" t="s">
        <v>139</v>
      </c>
      <c r="C67" s="237" t="s">
        <v>90</v>
      </c>
      <c r="D67" s="238">
        <v>31</v>
      </c>
      <c r="E67" s="231">
        <f>VLOOKUP(B:B,'[3]数据透视加工表'!$B:$C,2,0)</f>
        <v>27</v>
      </c>
      <c r="F67" s="239">
        <f t="shared" si="2821"/>
        <v>0</v>
      </c>
      <c r="G67" s="238">
        <v>31471.189999999999</v>
      </c>
      <c r="H67" s="239">
        <v>123328.64</v>
      </c>
      <c r="I67" s="239">
        <f t="shared" si="2827"/>
        <v>1.6625321288140298e-002</v>
      </c>
      <c r="J67" s="242">
        <f t="shared" si="2823"/>
        <v>83.126606440701394</v>
      </c>
    </row>
    <row r="68">
      <c r="A68" s="235">
        <v>59</v>
      </c>
      <c r="B68" s="243" t="s">
        <v>140</v>
      </c>
      <c r="C68" s="237" t="s">
        <v>90</v>
      </c>
      <c r="D68" s="238">
        <v>38</v>
      </c>
      <c r="E68" s="231">
        <f>VLOOKUP(B:B,'[3]数据透视加工表'!$B:$C,2,0)</f>
        <v>115</v>
      </c>
      <c r="F68" s="239">
        <f t="shared" si="2821"/>
        <v>7.9474775397373899e-003</v>
      </c>
      <c r="G68" s="238">
        <v>15986.16</v>
      </c>
      <c r="H68" s="239">
        <v>21486</v>
      </c>
      <c r="I68" s="239">
        <f t="shared" si="2827"/>
        <v>2.8964209221554898e-003</v>
      </c>
      <c r="J68" s="242">
        <f t="shared" si="2823"/>
        <v>54.2194923094644</v>
      </c>
    </row>
    <row r="69">
      <c r="A69" s="235">
        <v>60</v>
      </c>
      <c r="B69" s="243" t="s">
        <v>141</v>
      </c>
      <c r="C69" s="237" t="s">
        <v>90</v>
      </c>
      <c r="D69" s="238">
        <v>135</v>
      </c>
      <c r="E69" s="231">
        <f>VLOOKUP(B:B,'[3]数据透视加工表'!$B:$C,2,0)</f>
        <v>113</v>
      </c>
      <c r="F69" s="239">
        <f t="shared" si="2821"/>
        <v>0</v>
      </c>
      <c r="G69" s="238">
        <v>35603.985666</v>
      </c>
      <c r="H69" s="239">
        <v>31221.610000000001</v>
      </c>
      <c r="I69" s="239">
        <f t="shared" si="2827"/>
        <v>0</v>
      </c>
      <c r="J69" s="242">
        <f t="shared" si="2823"/>
        <v>0</v>
      </c>
    </row>
    <row r="70">
      <c r="A70" s="235">
        <v>61</v>
      </c>
      <c r="B70" s="243" t="s">
        <v>142</v>
      </c>
      <c r="C70" s="237" t="s">
        <v>93</v>
      </c>
      <c r="D70" s="238">
        <v>268</v>
      </c>
      <c r="E70" s="231">
        <f>VLOOKUP(B:B,'[3]数据透视加工表'!$B:$C,2,0)</f>
        <v>74</v>
      </c>
      <c r="F70" s="239">
        <f t="shared" si="2821"/>
        <v>0</v>
      </c>
      <c r="G70" s="238">
        <v>35151.576999999997</v>
      </c>
      <c r="H70" s="239">
        <v>13691.995000000001</v>
      </c>
      <c r="I70" s="239">
        <f t="shared" si="2827"/>
        <v>0</v>
      </c>
      <c r="J70" s="242">
        <f t="shared" si="2823"/>
        <v>0</v>
      </c>
    </row>
    <row r="71">
      <c r="A71" s="235">
        <v>62</v>
      </c>
      <c r="B71" s="243" t="s">
        <v>143</v>
      </c>
      <c r="C71" s="237" t="s">
        <v>90</v>
      </c>
      <c r="D71" s="238">
        <v>25</v>
      </c>
      <c r="E71" s="231">
        <f>VLOOKUP(B:B,'[3]数据透视加工表'!$B:$C,2,0)</f>
        <v>47</v>
      </c>
      <c r="F71" s="239">
        <f t="shared" si="2821"/>
        <v>3.2480995162405e-003</v>
      </c>
      <c r="G71" s="238">
        <v>44435.199999999997</v>
      </c>
      <c r="H71" s="239">
        <v>61593.495000000003</v>
      </c>
      <c r="I71" s="239">
        <f t="shared" si="2827"/>
        <v>8.3031130776635605e-003</v>
      </c>
      <c r="J71" s="242">
        <f t="shared" si="2823"/>
        <v>57.7560629695203</v>
      </c>
    </row>
    <row r="72">
      <c r="A72" s="235">
        <v>63</v>
      </c>
      <c r="B72" s="243" t="s">
        <v>144</v>
      </c>
      <c r="C72" s="237" t="s">
        <v>93</v>
      </c>
      <c r="D72" s="238">
        <v>430</v>
      </c>
      <c r="E72" s="231">
        <f>VLOOKUP(B:B,'[3]数据透视加工表'!$B:$C,2,0)</f>
        <v>312</v>
      </c>
      <c r="F72" s="239">
        <f t="shared" si="2821"/>
        <v>0</v>
      </c>
      <c r="G72" s="238">
        <v>77339.559999999998</v>
      </c>
      <c r="H72" s="239">
        <v>73448.990000000005</v>
      </c>
      <c r="I72" s="239">
        <f t="shared" si="2827"/>
        <v>0</v>
      </c>
      <c r="J72" s="242">
        <f t="shared" si="2823"/>
        <v>0</v>
      </c>
    </row>
    <row r="73">
      <c r="A73" s="235">
        <v>64</v>
      </c>
      <c r="B73" s="243" t="s">
        <v>145</v>
      </c>
      <c r="C73" s="237" t="s">
        <v>90</v>
      </c>
      <c r="D73" s="238">
        <v>45</v>
      </c>
      <c r="E73" s="231">
        <f>VLOOKUP(B:B,'[3]数据透视加工表'!$B:$C,2,0)</f>
        <v>95</v>
      </c>
      <c r="F73" s="239">
        <f t="shared" si="2821"/>
        <v>6.5653075328265401e-003</v>
      </c>
      <c r="G73" s="238">
        <v>24374.7814</v>
      </c>
      <c r="H73" s="239">
        <v>31555.509999999998</v>
      </c>
      <c r="I73" s="239">
        <f t="shared" si="2827"/>
        <v>4.2538415420872496e-003</v>
      </c>
      <c r="J73" s="242">
        <f t="shared" si="2823"/>
        <v>54.095745374568899</v>
      </c>
    </row>
    <row r="74" hidden="1">
      <c r="A74" s="228"/>
      <c r="B74" s="229" t="s">
        <v>382</v>
      </c>
      <c r="C74" s="230"/>
      <c r="D74" s="231"/>
      <c r="E74" s="231"/>
      <c r="F74" s="232"/>
      <c r="G74" s="231"/>
      <c r="H74" s="232">
        <v>32146.134999999998</v>
      </c>
      <c r="I74" s="239">
        <f>IF((H74-G74)&gt;0,1*H74/$H$149,0)</f>
        <v>4.3334607642387998e-003</v>
      </c>
      <c r="J74" s="234"/>
    </row>
    <row r="75">
      <c r="A75" s="235">
        <v>65</v>
      </c>
      <c r="B75" s="243" t="s">
        <v>149</v>
      </c>
      <c r="C75" s="237" t="s">
        <v>78</v>
      </c>
      <c r="D75" s="238">
        <v>103</v>
      </c>
      <c r="E75" s="231">
        <f>VLOOKUP(B:B,'[3]数据透视加工表'!$B:$C,2,0)</f>
        <v>136</v>
      </c>
      <c r="F75" s="239">
        <f t="shared" si="2821"/>
        <v>9.3987560469937798e-003</v>
      </c>
      <c r="G75" s="238">
        <v>8968.9028999999991</v>
      </c>
      <c r="H75" s="239">
        <v>56184.980000000003</v>
      </c>
      <c r="I75" s="239">
        <f t="shared" ref="I75:I84" si="2828">IF((H75-G75)&gt;0,H75/$H$149,0)</f>
        <v>7.5740180388572803e-003</v>
      </c>
      <c r="J75" s="242">
        <f t="shared" si="2823"/>
        <v>84.8638704292553</v>
      </c>
    </row>
    <row r="76">
      <c r="A76" s="235">
        <v>66</v>
      </c>
      <c r="B76" s="243" t="s">
        <v>150</v>
      </c>
      <c r="C76" s="237" t="s">
        <v>90</v>
      </c>
      <c r="D76" s="238">
        <v>179</v>
      </c>
      <c r="E76" s="231">
        <f>VLOOKUP(B:B,'[3]数据透视加工表'!$B:$C,2,0)</f>
        <v>142</v>
      </c>
      <c r="F76" s="239">
        <f t="shared" si="2821"/>
        <v>0</v>
      </c>
      <c r="G76" s="238">
        <v>12005.200000000001</v>
      </c>
      <c r="H76" s="239">
        <v>28945.209999999999</v>
      </c>
      <c r="I76" s="239">
        <f t="shared" si="2828"/>
        <v>3.90195996649838e-003</v>
      </c>
      <c r="J76" s="242">
        <f t="shared" si="2823"/>
        <v>19.5097998324919</v>
      </c>
    </row>
    <row r="77">
      <c r="A77" s="235">
        <v>67</v>
      </c>
      <c r="B77" s="243" t="s">
        <v>151</v>
      </c>
      <c r="C77" s="237" t="s">
        <v>90</v>
      </c>
      <c r="D77" s="238">
        <v>64</v>
      </c>
      <c r="E77" s="231">
        <f>VLOOKUP(B:B,'[3]数据透视加工表'!$B:$C,2,0)</f>
        <v>120</v>
      </c>
      <c r="F77" s="239">
        <f t="shared" si="2821"/>
        <v>8.2930200414651004e-003</v>
      </c>
      <c r="G77" s="238">
        <v>35765.573299999996</v>
      </c>
      <c r="H77" s="239">
        <v>68829.407000000007</v>
      </c>
      <c r="I77" s="239">
        <f t="shared" si="2828"/>
        <v>9.2785504279230806e-003</v>
      </c>
      <c r="J77" s="242">
        <f t="shared" si="2823"/>
        <v>87.857852346940902</v>
      </c>
    </row>
    <row r="78">
      <c r="A78" s="235">
        <v>68</v>
      </c>
      <c r="B78" s="243" t="s">
        <v>152</v>
      </c>
      <c r="C78" s="237" t="s">
        <v>90</v>
      </c>
      <c r="D78" s="238">
        <v>107</v>
      </c>
      <c r="E78" s="231">
        <f>VLOOKUP(B:B,'[3]数据透视加工表'!$B:$C,2,0)</f>
        <v>190</v>
      </c>
      <c r="F78" s="239">
        <f t="shared" si="2821"/>
        <v>1.3130615065653099e-002</v>
      </c>
      <c r="G78" s="238">
        <v>35904.652999999998</v>
      </c>
      <c r="H78" s="239">
        <v>35627.139999999999</v>
      </c>
      <c r="I78" s="239">
        <f t="shared" si="2828"/>
        <v>0</v>
      </c>
      <c r="J78" s="242">
        <f t="shared" si="2823"/>
        <v>65.653075328265402</v>
      </c>
    </row>
    <row r="79">
      <c r="A79" s="235">
        <v>69</v>
      </c>
      <c r="B79" s="243" t="s">
        <v>153</v>
      </c>
      <c r="C79" s="237" t="s">
        <v>90</v>
      </c>
      <c r="D79" s="238">
        <v>154</v>
      </c>
      <c r="E79" s="231">
        <f>VLOOKUP(B:B,'[3]数据透视加工表'!$B:$C,2,0)</f>
        <v>96</v>
      </c>
      <c r="F79" s="239">
        <f t="shared" si="2821"/>
        <v>0</v>
      </c>
      <c r="G79" s="238">
        <v>41508.303131000001</v>
      </c>
      <c r="H79" s="239">
        <v>10176.91</v>
      </c>
      <c r="I79" s="239">
        <f t="shared" si="2828"/>
        <v>0</v>
      </c>
      <c r="J79" s="242">
        <f t="shared" si="2823"/>
        <v>0</v>
      </c>
    </row>
    <row r="80">
      <c r="A80" s="235">
        <v>70</v>
      </c>
      <c r="B80" s="243" t="s">
        <v>154</v>
      </c>
      <c r="C80" s="237" t="s">
        <v>90</v>
      </c>
      <c r="D80" s="238">
        <v>72</v>
      </c>
      <c r="E80" s="231">
        <f>VLOOKUP(B:B,'[3]数据透视加工表'!$B:$C,2,0)</f>
        <v>69</v>
      </c>
      <c r="F80" s="239">
        <f t="shared" si="2821"/>
        <v>0</v>
      </c>
      <c r="G80" s="238">
        <v>36272.466999999997</v>
      </c>
      <c r="H80" s="239">
        <v>24824</v>
      </c>
      <c r="I80" s="239">
        <f t="shared" si="2828"/>
        <v>0</v>
      </c>
      <c r="J80" s="242">
        <f t="shared" si="2823"/>
        <v>0</v>
      </c>
    </row>
    <row r="81">
      <c r="A81" s="235">
        <v>71</v>
      </c>
      <c r="B81" s="243" t="s">
        <v>155</v>
      </c>
      <c r="C81" s="237" t="s">
        <v>93</v>
      </c>
      <c r="D81" s="238">
        <v>214</v>
      </c>
      <c r="E81" s="231">
        <f>VLOOKUP(B:B,'[3]数据透视加工表'!$B:$C,2,0)</f>
        <v>171</v>
      </c>
      <c r="F81" s="239">
        <f t="shared" si="2821"/>
        <v>0</v>
      </c>
      <c r="G81" s="238">
        <v>28528.604200000002</v>
      </c>
      <c r="H81" s="239">
        <v>16040.190000000001</v>
      </c>
      <c r="I81" s="239">
        <f t="shared" si="2828"/>
        <v>0</v>
      </c>
      <c r="J81" s="242">
        <f t="shared" si="2823"/>
        <v>0</v>
      </c>
    </row>
    <row r="82">
      <c r="A82" s="235">
        <v>72</v>
      </c>
      <c r="B82" s="243" t="s">
        <v>156</v>
      </c>
      <c r="C82" s="237" t="s">
        <v>90</v>
      </c>
      <c r="D82" s="238">
        <v>77</v>
      </c>
      <c r="E82" s="231">
        <f>VLOOKUP(B:B,'[3]数据透视加工表'!$B:$C,2,0)</f>
        <v>141</v>
      </c>
      <c r="F82" s="239">
        <f t="shared" si="2821"/>
        <v>9.7442985487214903e-003</v>
      </c>
      <c r="G82" s="238">
        <v>21985.598999999998</v>
      </c>
      <c r="H82" s="239">
        <v>36937.602700000003</v>
      </c>
      <c r="I82" s="239">
        <f t="shared" si="2828"/>
        <v>4.9793747218908604e-003</v>
      </c>
      <c r="J82" s="242">
        <f t="shared" si="2823"/>
        <v>73.618366353061802</v>
      </c>
    </row>
    <row r="83">
      <c r="A83" s="235">
        <v>73</v>
      </c>
      <c r="B83" s="243" t="s">
        <v>157</v>
      </c>
      <c r="C83" s="237" t="s">
        <v>93</v>
      </c>
      <c r="D83" s="238">
        <v>210</v>
      </c>
      <c r="E83" s="231">
        <f>VLOOKUP(B:B,'[3]数据透视加工表'!$B:$C,2,0)</f>
        <v>208</v>
      </c>
      <c r="F83" s="239">
        <f t="shared" si="2821"/>
        <v>0</v>
      </c>
      <c r="G83" s="238">
        <v>60844.779600000002</v>
      </c>
      <c r="H83" s="239">
        <v>30017.09</v>
      </c>
      <c r="I83" s="239">
        <f t="shared" si="2828"/>
        <v>0</v>
      </c>
      <c r="J83" s="242">
        <f t="shared" si="2823"/>
        <v>0</v>
      </c>
    </row>
    <row r="84">
      <c r="A84" s="235">
        <v>74</v>
      </c>
      <c r="B84" s="243" t="s">
        <v>158</v>
      </c>
      <c r="C84" s="237" t="s">
        <v>90</v>
      </c>
      <c r="D84" s="238">
        <v>236</v>
      </c>
      <c r="E84" s="231">
        <f>VLOOKUP(B:B,'[3]数据透视加工表'!$B:$C,2,0)</f>
        <v>179</v>
      </c>
      <c r="F84" s="239">
        <f t="shared" ref="F84:F99" si="2829">IF((E84-D84)&gt;0,E84/$E$149,0)</f>
        <v>0</v>
      </c>
      <c r="G84" s="238">
        <v>18042.860000000001</v>
      </c>
      <c r="H84" s="239">
        <v>61894.360000000001</v>
      </c>
      <c r="I84" s="239">
        <f t="shared" si="2828"/>
        <v>8.3436711936807108e-003</v>
      </c>
      <c r="J84" s="242">
        <f t="shared" ref="J84:J99" si="2830">(F84*0.5+I84*0.5)*10000</f>
        <v>41.7183559684035</v>
      </c>
    </row>
    <row r="85" ht="27" hidden="1">
      <c r="A85" s="228"/>
      <c r="B85" s="229" t="s">
        <v>460</v>
      </c>
      <c r="C85" s="230"/>
      <c r="D85" s="231"/>
      <c r="E85" s="231"/>
      <c r="F85" s="232"/>
      <c r="G85" s="231"/>
      <c r="H85" s="232">
        <v>55109.714999999997</v>
      </c>
      <c r="I85" s="239">
        <f>IF((H85-G85)&gt;0,1*H85/$H$149,0)</f>
        <v>7.42906690589342e-003</v>
      </c>
      <c r="J85" s="234"/>
    </row>
    <row r="86">
      <c r="A86" s="235">
        <v>75</v>
      </c>
      <c r="B86" s="243" t="s">
        <v>161</v>
      </c>
      <c r="C86" s="237" t="s">
        <v>78</v>
      </c>
      <c r="D86" s="238">
        <v>173</v>
      </c>
      <c r="E86" s="231">
        <f>VLOOKUP(B:B,'[3]数据透视加工表'!$B:$C,2,0)</f>
        <v>106</v>
      </c>
      <c r="F86" s="239">
        <f t="shared" si="2829"/>
        <v>0</v>
      </c>
      <c r="G86" s="238">
        <v>8647.4318000000003</v>
      </c>
      <c r="H86" s="239">
        <v>159332.25</v>
      </c>
      <c r="I86" s="239">
        <f t="shared" ref="I86:I88" si="2831">IF((H86-G86)&gt;0,H86/$H$149,0)</f>
        <v>2.14787890940198e-002</v>
      </c>
      <c r="J86" s="242">
        <f t="shared" si="2830"/>
        <v>107.393945470099</v>
      </c>
    </row>
    <row r="87">
      <c r="A87" s="235">
        <v>76</v>
      </c>
      <c r="B87" s="243" t="s">
        <v>162</v>
      </c>
      <c r="C87" s="237" t="s">
        <v>90</v>
      </c>
      <c r="D87" s="238">
        <v>126</v>
      </c>
      <c r="E87" s="231">
        <f>VLOOKUP(B:B,'[3]数据透视加工表'!$B:$C,2,0)</f>
        <v>38</v>
      </c>
      <c r="F87" s="239">
        <f t="shared" si="2829"/>
        <v>0</v>
      </c>
      <c r="G87" s="238">
        <v>21671.887599999998</v>
      </c>
      <c r="H87" s="239">
        <v>40551.269999999997</v>
      </c>
      <c r="I87" s="239">
        <f t="shared" si="2831"/>
        <v>5.4665152586789601e-003</v>
      </c>
      <c r="J87" s="242">
        <f t="shared" si="2830"/>
        <v>27.332576293394801</v>
      </c>
    </row>
    <row r="88">
      <c r="A88" s="235">
        <v>77</v>
      </c>
      <c r="B88" s="243" t="s">
        <v>163</v>
      </c>
      <c r="C88" s="237" t="s">
        <v>90</v>
      </c>
      <c r="D88" s="238">
        <v>22</v>
      </c>
      <c r="E88" s="231">
        <f>VLOOKUP(B:B,'[3]数据透视加工表'!$B:$C,2,0)</f>
        <v>45</v>
      </c>
      <c r="F88" s="239">
        <f t="shared" si="2829"/>
        <v>3.10988251554941e-003</v>
      </c>
      <c r="G88" s="238">
        <v>19558.73501</v>
      </c>
      <c r="H88" s="239">
        <v>20261.459999999999</v>
      </c>
      <c r="I88" s="239">
        <f t="shared" si="2831"/>
        <v>2.73134676800784e-003</v>
      </c>
      <c r="J88" s="242">
        <f t="shared" si="2830"/>
        <v>29.2061464177863</v>
      </c>
    </row>
    <row r="89" hidden="1">
      <c r="A89" s="228"/>
      <c r="B89" s="229" t="s">
        <v>459</v>
      </c>
      <c r="C89" s="230"/>
      <c r="D89" s="231"/>
      <c r="E89" s="231"/>
      <c r="F89" s="232"/>
      <c r="G89" s="231"/>
      <c r="H89" s="232">
        <v>26947.6836</v>
      </c>
      <c r="I89" s="239">
        <f t="shared" ref="I87:I89" si="2832">IF((H89-G89)&gt;0,1*H89/$H$149,0)</f>
        <v>3.6326833557975601e-003</v>
      </c>
      <c r="J89" s="234"/>
    </row>
    <row r="90">
      <c r="A90" s="235">
        <v>78</v>
      </c>
      <c r="B90" s="243" t="s">
        <v>166</v>
      </c>
      <c r="C90" s="237" t="s">
        <v>78</v>
      </c>
      <c r="D90" s="238">
        <v>403</v>
      </c>
      <c r="E90" s="231">
        <f>VLOOKUP(B:B,'[3]数据透视加工表'!$B:$C,2,0)</f>
        <v>197</v>
      </c>
      <c r="F90" s="239">
        <f t="shared" si="2829"/>
        <v>0</v>
      </c>
      <c r="G90" s="238">
        <v>7508.25</v>
      </c>
      <c r="H90" s="239">
        <v>86628.505659999995</v>
      </c>
      <c r="I90" s="239">
        <f t="shared" ref="I90:I99" si="2833">IF((H90-G90)&gt;0,H90/$H$149,0)</f>
        <v>1.1677958496169099e-002</v>
      </c>
      <c r="J90" s="242">
        <f t="shared" si="2830"/>
        <v>58.389792480845401</v>
      </c>
    </row>
    <row r="91">
      <c r="A91" s="235">
        <v>79</v>
      </c>
      <c r="B91" s="243" t="s">
        <v>167</v>
      </c>
      <c r="C91" s="237" t="s">
        <v>90</v>
      </c>
      <c r="D91" s="238">
        <v>172</v>
      </c>
      <c r="E91" s="231">
        <f>VLOOKUP(B:B,'[3]数据透视加工表'!$B:$C,2,0)</f>
        <v>149</v>
      </c>
      <c r="F91" s="239">
        <f t="shared" si="2829"/>
        <v>0</v>
      </c>
      <c r="G91" s="238">
        <v>17699.200000000001</v>
      </c>
      <c r="H91" s="239">
        <v>60069.870000000003</v>
      </c>
      <c r="I91" s="239">
        <f t="shared" si="2833"/>
        <v>8.0977207604561192e-003</v>
      </c>
      <c r="J91" s="242">
        <f t="shared" si="2830"/>
        <v>40.488603802280601</v>
      </c>
    </row>
    <row r="92">
      <c r="A92" s="235">
        <v>80</v>
      </c>
      <c r="B92" s="243" t="s">
        <v>168</v>
      </c>
      <c r="C92" s="237" t="s">
        <v>90</v>
      </c>
      <c r="D92" s="238">
        <v>145</v>
      </c>
      <c r="E92" s="231">
        <f>VLOOKUP(B:B,'[3]数据透视加工表'!$B:$C,2,0)</f>
        <v>56</v>
      </c>
      <c r="F92" s="239">
        <f t="shared" si="2829"/>
        <v>0</v>
      </c>
      <c r="G92" s="238">
        <v>15975.17</v>
      </c>
      <c r="H92" s="239">
        <v>13500.549999999999</v>
      </c>
      <c r="I92" s="239">
        <f t="shared" si="2833"/>
        <v>0</v>
      </c>
      <c r="J92" s="242">
        <f t="shared" si="2830"/>
        <v>0</v>
      </c>
    </row>
    <row r="93">
      <c r="A93" s="235">
        <v>81</v>
      </c>
      <c r="B93" s="243" t="s">
        <v>169</v>
      </c>
      <c r="C93" s="237" t="s">
        <v>90</v>
      </c>
      <c r="D93" s="238">
        <v>118</v>
      </c>
      <c r="E93" s="231">
        <f>VLOOKUP(B:B,'[3]数据透视加工表'!$B:$C,2,0)</f>
        <v>188</v>
      </c>
      <c r="F93" s="239">
        <f t="shared" si="2829"/>
        <v>1.2992398064962e-002</v>
      </c>
      <c r="G93" s="238">
        <v>28101.692999999999</v>
      </c>
      <c r="H93" s="239">
        <v>15452</v>
      </c>
      <c r="I93" s="239">
        <f t="shared" si="2833"/>
        <v>0</v>
      </c>
      <c r="J93" s="242">
        <f t="shared" si="2830"/>
        <v>64.961990324810003</v>
      </c>
    </row>
    <row r="94">
      <c r="A94" s="235">
        <v>82</v>
      </c>
      <c r="B94" s="243" t="s">
        <v>170</v>
      </c>
      <c r="C94" s="237" t="s">
        <v>90</v>
      </c>
      <c r="D94" s="238">
        <v>58</v>
      </c>
      <c r="E94" s="231">
        <f>VLOOKUP(B:B,'[3]数据透视加工表'!$B:$C,2,0)</f>
        <v>173</v>
      </c>
      <c r="F94" s="239">
        <f t="shared" si="2829"/>
        <v>1.19557705597789e-002</v>
      </c>
      <c r="G94" s="238">
        <v>20968.360000000001</v>
      </c>
      <c r="H94" s="239">
        <v>15500.24</v>
      </c>
      <c r="I94" s="239">
        <f t="shared" si="2833"/>
        <v>0</v>
      </c>
      <c r="J94" s="242">
        <f t="shared" si="2830"/>
        <v>59.778852798894299</v>
      </c>
    </row>
    <row r="95">
      <c r="A95" s="235">
        <v>83</v>
      </c>
      <c r="B95" s="243" t="s">
        <v>171</v>
      </c>
      <c r="C95" s="237" t="s">
        <v>90</v>
      </c>
      <c r="D95" s="238">
        <v>51</v>
      </c>
      <c r="E95" s="231">
        <f>VLOOKUP(B:B,'[3]数据透视加工表'!$B:$C,2,0)</f>
        <v>180</v>
      </c>
      <c r="F95" s="239">
        <f t="shared" si="2829"/>
        <v>1.2439530062197701e-002</v>
      </c>
      <c r="G95" s="238">
        <v>20422.389999999999</v>
      </c>
      <c r="H95" s="239">
        <v>23312.299999999999</v>
      </c>
      <c r="I95" s="239">
        <f t="shared" si="2833"/>
        <v>3.1426153524883801e-003</v>
      </c>
      <c r="J95" s="242">
        <f t="shared" si="2830"/>
        <v>77.910727073430195</v>
      </c>
    </row>
    <row r="96">
      <c r="A96" s="235">
        <v>84</v>
      </c>
      <c r="B96" s="243" t="s">
        <v>172</v>
      </c>
      <c r="C96" s="237" t="s">
        <v>90</v>
      </c>
      <c r="D96" s="238">
        <v>52</v>
      </c>
      <c r="E96" s="231">
        <f>VLOOKUP(B:B,'[3]数据透视加工表'!$B:$C,2,0)</f>
        <v>102</v>
      </c>
      <c r="F96" s="239">
        <f t="shared" si="2829"/>
        <v>7.0490670352453396e-003</v>
      </c>
      <c r="G96" s="238">
        <v>18283.029999999999</v>
      </c>
      <c r="H96" s="239">
        <v>24915.060000000001</v>
      </c>
      <c r="I96" s="239">
        <f t="shared" si="2833"/>
        <v>3.3586754659201e-003</v>
      </c>
      <c r="J96" s="242">
        <f t="shared" si="2830"/>
        <v>52.038712505827199</v>
      </c>
    </row>
    <row r="97">
      <c r="A97" s="235">
        <v>85</v>
      </c>
      <c r="B97" s="243" t="s">
        <v>173</v>
      </c>
      <c r="C97" s="237" t="s">
        <v>78</v>
      </c>
      <c r="D97" s="238">
        <v>271</v>
      </c>
      <c r="E97" s="231">
        <f>VLOOKUP(B:B,'[3]数据透视加工表'!$B:$C,2,0)</f>
        <v>214</v>
      </c>
      <c r="F97" s="239">
        <f t="shared" si="2829"/>
        <v>0</v>
      </c>
      <c r="G97" s="238">
        <v>7785.9200000000001</v>
      </c>
      <c r="H97" s="239">
        <v>23702.549999999999</v>
      </c>
      <c r="I97" s="239">
        <f t="shared" si="2833"/>
        <v>3.1952230163099899e-003</v>
      </c>
      <c r="J97" s="242">
        <f t="shared" si="2830"/>
        <v>15.976115081550001</v>
      </c>
    </row>
    <row r="98">
      <c r="A98" s="235">
        <v>86</v>
      </c>
      <c r="B98" s="243" t="s">
        <v>174</v>
      </c>
      <c r="C98" s="237" t="s">
        <v>93</v>
      </c>
      <c r="D98" s="238">
        <v>213</v>
      </c>
      <c r="E98" s="231">
        <f>VLOOKUP(B:B,'[3]数据透视加工表'!$B:$C,2,0)</f>
        <v>373</v>
      </c>
      <c r="F98" s="239">
        <f t="shared" si="2829"/>
        <v>2.5777470628887401e-002</v>
      </c>
      <c r="G98" s="238">
        <v>38714.845300000001</v>
      </c>
      <c r="H98" s="239">
        <v>29425</v>
      </c>
      <c r="I98" s="239">
        <f t="shared" si="2833"/>
        <v>0</v>
      </c>
      <c r="J98" s="242">
        <f t="shared" si="2830"/>
        <v>128.88735314443699</v>
      </c>
    </row>
    <row r="99">
      <c r="A99" s="235">
        <v>87</v>
      </c>
      <c r="B99" s="243" t="s">
        <v>175</v>
      </c>
      <c r="C99" s="237" t="s">
        <v>78</v>
      </c>
      <c r="D99" s="238">
        <v>30</v>
      </c>
      <c r="E99" s="231">
        <f>VLOOKUP(B:B,'[3]数据透视加工表'!$B:$C,2,0)</f>
        <v>86</v>
      </c>
      <c r="F99" s="239">
        <f t="shared" si="2829"/>
        <v>5.9433310297166498e-003</v>
      </c>
      <c r="G99" s="238">
        <v>11484.205</v>
      </c>
      <c r="H99" s="239">
        <v>19533</v>
      </c>
      <c r="I99" s="239">
        <f t="shared" si="2833"/>
        <v>2.6331466942410499e-003</v>
      </c>
      <c r="J99" s="242">
        <f t="shared" si="2830"/>
        <v>42.8823886197885</v>
      </c>
    </row>
    <row r="100" hidden="1">
      <c r="A100" s="228"/>
      <c r="B100" s="229" t="s">
        <v>461</v>
      </c>
      <c r="C100" s="230"/>
      <c r="D100" s="231"/>
      <c r="E100" s="231"/>
      <c r="F100" s="232"/>
      <c r="G100" s="231"/>
      <c r="H100" s="232">
        <v>30096.810000000001</v>
      </c>
      <c r="I100" s="239">
        <f>IF((H100-G100)&gt;0,1*H100/$H$149,0)</f>
        <v>4.0572014415963201e-003</v>
      </c>
      <c r="J100" s="234"/>
    </row>
    <row r="101">
      <c r="A101" s="235">
        <v>88</v>
      </c>
      <c r="B101" s="243" t="s">
        <v>178</v>
      </c>
      <c r="C101" s="237" t="s">
        <v>78</v>
      </c>
      <c r="D101" s="238">
        <v>41</v>
      </c>
      <c r="E101" s="231">
        <f>VLOOKUP(B:B,'[3]数据透视加工表'!$B:$C,2,0)</f>
        <v>49</v>
      </c>
      <c r="F101" s="239">
        <f t="shared" ref="F101:F148" si="2834">IF((E101-D101)&gt;0,E101/$E$149,0)</f>
        <v>3.3863165169315799e-003</v>
      </c>
      <c r="G101" s="238">
        <v>6402.0600000000004</v>
      </c>
      <c r="H101" s="239">
        <v>12796.139999999999</v>
      </c>
      <c r="I101" s="239">
        <f t="shared" ref="I101:I112" si="2835">IF((H101-G101)&gt;0,H101/$H$149,0)</f>
        <v>1.7249840649181201e-003</v>
      </c>
      <c r="J101" s="242">
        <f t="shared" ref="J101:J148" si="2836">(F101*0.5+I101*0.5)*10000</f>
        <v>25.556502909248501</v>
      </c>
    </row>
    <row r="102">
      <c r="A102" s="235">
        <v>89</v>
      </c>
      <c r="B102" s="243" t="s">
        <v>179</v>
      </c>
      <c r="C102" s="237" t="s">
        <v>90</v>
      </c>
      <c r="D102" s="238">
        <v>32</v>
      </c>
      <c r="E102" s="231">
        <f>VLOOKUP(B:B,'[3]数据透视加工表'!$B:$C,2,0)</f>
        <v>38</v>
      </c>
      <c r="F102" s="239">
        <f t="shared" si="2834"/>
        <v>2.62612301313062e-003</v>
      </c>
      <c r="G102" s="238">
        <v>13996.58</v>
      </c>
      <c r="H102" s="239">
        <v>28127</v>
      </c>
      <c r="I102" s="239">
        <f t="shared" si="2835"/>
        <v>3.7916611410903599e-003</v>
      </c>
      <c r="J102" s="242">
        <f t="shared" si="2836"/>
        <v>32.088920771104902</v>
      </c>
    </row>
    <row r="103">
      <c r="A103" s="235">
        <v>90</v>
      </c>
      <c r="B103" s="243" t="s">
        <v>180</v>
      </c>
      <c r="C103" s="237" t="s">
        <v>90</v>
      </c>
      <c r="D103" s="238">
        <v>100</v>
      </c>
      <c r="E103" s="231">
        <f>VLOOKUP(B:B,'[3]数据透视加工表'!$B:$C,2,0)</f>
        <v>45</v>
      </c>
      <c r="F103" s="239">
        <f t="shared" si="2834"/>
        <v>0</v>
      </c>
      <c r="G103" s="238">
        <v>38211.56912</v>
      </c>
      <c r="H103" s="239">
        <v>13296.290000000001</v>
      </c>
      <c r="I103" s="239">
        <f t="shared" si="2835"/>
        <v>0</v>
      </c>
      <c r="J103" s="242">
        <f t="shared" si="2836"/>
        <v>0</v>
      </c>
    </row>
    <row r="104">
      <c r="A104" s="235">
        <v>91</v>
      </c>
      <c r="B104" s="243" t="s">
        <v>181</v>
      </c>
      <c r="C104" s="237" t="s">
        <v>90</v>
      </c>
      <c r="D104" s="238">
        <v>53</v>
      </c>
      <c r="E104" s="231">
        <f>VLOOKUP(B:B,'[3]数据透视加工表'!$B:$C,2,0)</f>
        <v>40</v>
      </c>
      <c r="F104" s="239">
        <f t="shared" si="2834"/>
        <v>0</v>
      </c>
      <c r="G104" s="238">
        <v>17707.521000000001</v>
      </c>
      <c r="H104" s="239">
        <v>31656.540000000001</v>
      </c>
      <c r="I104" s="239">
        <f t="shared" si="2835"/>
        <v>4.2674608944918598e-003</v>
      </c>
      <c r="J104" s="242">
        <f t="shared" si="2836"/>
        <v>21.337304472459302</v>
      </c>
    </row>
    <row r="105">
      <c r="A105" s="235">
        <v>92</v>
      </c>
      <c r="B105" s="243" t="s">
        <v>182</v>
      </c>
      <c r="C105" s="237" t="s">
        <v>90</v>
      </c>
      <c r="D105" s="238">
        <v>52</v>
      </c>
      <c r="E105" s="231">
        <f>VLOOKUP(B:B,'[3]数据透视加工表'!$B:$C,2,0)</f>
        <v>57</v>
      </c>
      <c r="F105" s="239">
        <f t="shared" si="2834"/>
        <v>3.9391845196959201e-003</v>
      </c>
      <c r="G105" s="238">
        <v>27627.419999999998</v>
      </c>
      <c r="H105" s="239">
        <v>44563.665000000001</v>
      </c>
      <c r="I105" s="239">
        <f t="shared" si="2835"/>
        <v>6.0074062959102796e-003</v>
      </c>
      <c r="J105" s="242">
        <f t="shared" si="2836"/>
        <v>49.732954078031</v>
      </c>
    </row>
    <row r="106">
      <c r="A106" s="235">
        <v>93</v>
      </c>
      <c r="B106" s="243" t="s">
        <v>183</v>
      </c>
      <c r="C106" s="237" t="s">
        <v>90</v>
      </c>
      <c r="D106" s="238">
        <v>68</v>
      </c>
      <c r="E106" s="231">
        <f>VLOOKUP(B:B,'[3]数据透视加工表'!$B:$C,2,0)</f>
        <v>56</v>
      </c>
      <c r="F106" s="239">
        <f t="shared" si="2834"/>
        <v>0</v>
      </c>
      <c r="G106" s="238">
        <v>22179.709999999999</v>
      </c>
      <c r="H106" s="239">
        <v>16811.099999999999</v>
      </c>
      <c r="I106" s="239">
        <f t="shared" si="2835"/>
        <v>0</v>
      </c>
      <c r="J106" s="242">
        <f t="shared" si="2836"/>
        <v>0</v>
      </c>
    </row>
    <row r="107">
      <c r="A107" s="235">
        <v>94</v>
      </c>
      <c r="B107" s="243" t="s">
        <v>184</v>
      </c>
      <c r="C107" s="237" t="s">
        <v>90</v>
      </c>
      <c r="D107" s="238">
        <v>34</v>
      </c>
      <c r="E107" s="231">
        <f>VLOOKUP(B:B,'[3]数据透视加工表'!$B:$C,2,0)</f>
        <v>53</v>
      </c>
      <c r="F107" s="239">
        <f t="shared" si="2834"/>
        <v>3.6627505183137502e-003</v>
      </c>
      <c r="G107" s="238">
        <v>28985.670900000001</v>
      </c>
      <c r="H107" s="239">
        <v>24200.849999999999</v>
      </c>
      <c r="I107" s="239">
        <f t="shared" si="2835"/>
        <v>0</v>
      </c>
      <c r="J107" s="242">
        <f t="shared" si="2836"/>
        <v>18.3137525915688</v>
      </c>
    </row>
    <row r="108">
      <c r="A108" s="235">
        <v>95</v>
      </c>
      <c r="B108" s="243" t="s">
        <v>185</v>
      </c>
      <c r="C108" s="237" t="s">
        <v>90</v>
      </c>
      <c r="D108" s="238">
        <v>53</v>
      </c>
      <c r="E108" s="231">
        <f>VLOOKUP(B:B,'[3]数据透视加工表'!$B:$C,2,0)</f>
        <v>55</v>
      </c>
      <c r="F108" s="239">
        <f t="shared" si="2834"/>
        <v>3.8009675190048401e-003</v>
      </c>
      <c r="G108" s="238">
        <v>12708.02</v>
      </c>
      <c r="H108" s="239">
        <v>30280.209999999999</v>
      </c>
      <c r="I108" s="239">
        <f t="shared" si="2835"/>
        <v>4.0819246845044104e-003</v>
      </c>
      <c r="J108" s="242">
        <f t="shared" si="2836"/>
        <v>39.414461017546202</v>
      </c>
    </row>
    <row r="109">
      <c r="A109" s="235">
        <v>96</v>
      </c>
      <c r="B109" s="243" t="s">
        <v>186</v>
      </c>
      <c r="C109" s="237" t="s">
        <v>90</v>
      </c>
      <c r="D109" s="238">
        <v>154</v>
      </c>
      <c r="E109" s="231">
        <f>VLOOKUP(B:B,'[3]数据透视加工表'!$B:$C,2,0)</f>
        <v>97</v>
      </c>
      <c r="F109" s="239">
        <f t="shared" si="2834"/>
        <v>0</v>
      </c>
      <c r="G109" s="238">
        <v>21930.8541</v>
      </c>
      <c r="H109" s="239">
        <v>44413.389999999999</v>
      </c>
      <c r="I109" s="239">
        <f t="shared" si="2835"/>
        <v>5.9871484696942803e-003</v>
      </c>
      <c r="J109" s="242">
        <f t="shared" si="2836"/>
        <v>29.9357423484714</v>
      </c>
    </row>
    <row r="110">
      <c r="A110" s="235">
        <v>97</v>
      </c>
      <c r="B110" s="243" t="s">
        <v>187</v>
      </c>
      <c r="C110" s="237" t="s">
        <v>90</v>
      </c>
      <c r="D110" s="238">
        <v>48</v>
      </c>
      <c r="E110" s="231">
        <f>VLOOKUP(B:B,'[3]数据透视加工表'!$B:$C,2,0)</f>
        <v>19</v>
      </c>
      <c r="F110" s="239">
        <f t="shared" si="2834"/>
        <v>0</v>
      </c>
      <c r="G110" s="238">
        <v>12191.940000000001</v>
      </c>
      <c r="H110" s="239">
        <v>47818.779999999999</v>
      </c>
      <c r="I110" s="239">
        <f t="shared" si="2835"/>
        <v>6.44621217834638e-003</v>
      </c>
      <c r="J110" s="242">
        <f t="shared" si="2836"/>
        <v>32.2310608917319</v>
      </c>
    </row>
    <row r="111">
      <c r="A111" s="235">
        <v>98</v>
      </c>
      <c r="B111" s="243" t="s">
        <v>188</v>
      </c>
      <c r="C111" s="237" t="s">
        <v>90</v>
      </c>
      <c r="D111" s="238">
        <v>188</v>
      </c>
      <c r="E111" s="231">
        <f>VLOOKUP(B:B,'[3]数据透视加工表'!$B:$C,2,0)</f>
        <v>93</v>
      </c>
      <c r="F111" s="239">
        <f t="shared" si="2834"/>
        <v>0</v>
      </c>
      <c r="G111" s="238">
        <v>27986.834800000001</v>
      </c>
      <c r="H111" s="239">
        <v>6943.3199999999997</v>
      </c>
      <c r="I111" s="239">
        <f t="shared" si="2835"/>
        <v>0</v>
      </c>
      <c r="J111" s="242">
        <f t="shared" si="2836"/>
        <v>0</v>
      </c>
    </row>
    <row r="112">
      <c r="A112" s="235">
        <v>99</v>
      </c>
      <c r="B112" s="243" t="s">
        <v>189</v>
      </c>
      <c r="C112" s="237" t="s">
        <v>90</v>
      </c>
      <c r="D112" s="238">
        <v>60</v>
      </c>
      <c r="E112" s="231">
        <f>VLOOKUP(B:B,'[3]数据透视加工表'!$B:$C,2,0)</f>
        <v>42</v>
      </c>
      <c r="F112" s="239">
        <f t="shared" si="2834"/>
        <v>0</v>
      </c>
      <c r="G112" s="238">
        <v>24290.777532</v>
      </c>
      <c r="H112" s="239">
        <v>47599.699999999997</v>
      </c>
      <c r="I112" s="239">
        <f t="shared" si="2835"/>
        <v>6.41667909188888e-003</v>
      </c>
      <c r="J112" s="242">
        <f t="shared" si="2836"/>
        <v>32.083395459444397</v>
      </c>
    </row>
    <row r="113" hidden="1">
      <c r="A113" s="228"/>
      <c r="B113" s="229" t="s">
        <v>384</v>
      </c>
      <c r="C113" s="230"/>
      <c r="D113" s="231"/>
      <c r="E113" s="231"/>
      <c r="F113" s="232"/>
      <c r="G113" s="231"/>
      <c r="H113" s="232">
        <v>28577</v>
      </c>
      <c r="I113" s="239">
        <f>IF((H113-G113)&gt;0,1*H113/$H$149,0)</f>
        <v>3.8523234055867698e-003</v>
      </c>
      <c r="J113" s="234"/>
    </row>
    <row r="114">
      <c r="A114" s="235">
        <v>100</v>
      </c>
      <c r="B114" s="243" t="s">
        <v>192</v>
      </c>
      <c r="C114" s="237" t="s">
        <v>90</v>
      </c>
      <c r="D114" s="238">
        <v>140</v>
      </c>
      <c r="E114" s="231">
        <f>VLOOKUP(B:B,'[3]数据透视加工表'!$B:$C,2,0)</f>
        <v>70</v>
      </c>
      <c r="F114" s="239">
        <f t="shared" si="2834"/>
        <v>0</v>
      </c>
      <c r="G114" s="238">
        <v>43532.455999999998</v>
      </c>
      <c r="H114" s="239">
        <v>10287.26</v>
      </c>
      <c r="I114" s="239">
        <f t="shared" ref="I114:I118" si="2837">IF((H114-G114)&gt;0,H114/$H$149,0)</f>
        <v>0</v>
      </c>
      <c r="J114" s="242">
        <f t="shared" si="2836"/>
        <v>0</v>
      </c>
    </row>
    <row r="115">
      <c r="A115" s="235">
        <v>101</v>
      </c>
      <c r="B115" s="243" t="s">
        <v>193</v>
      </c>
      <c r="C115" s="237" t="s">
        <v>90</v>
      </c>
      <c r="D115" s="238">
        <v>500</v>
      </c>
      <c r="E115" s="231">
        <f>VLOOKUP(B:B,'[3]数据透视加工表'!$B:$C,2,0)</f>
        <v>299</v>
      </c>
      <c r="F115" s="239">
        <f t="shared" si="2834"/>
        <v>0</v>
      </c>
      <c r="G115" s="238">
        <v>30096.3308</v>
      </c>
      <c r="H115" s="239">
        <v>21483.753400000001</v>
      </c>
      <c r="I115" s="239">
        <f t="shared" si="2837"/>
        <v>0</v>
      </c>
      <c r="J115" s="242">
        <f t="shared" si="2836"/>
        <v>0</v>
      </c>
    </row>
    <row r="116">
      <c r="A116" s="235">
        <v>102</v>
      </c>
      <c r="B116" s="243" t="s">
        <v>194</v>
      </c>
      <c r="C116" s="237" t="s">
        <v>78</v>
      </c>
      <c r="D116" s="238">
        <v>966</v>
      </c>
      <c r="E116" s="231">
        <f>VLOOKUP(B:B,'[3]数据透视加工表'!$B:$C,2,0)</f>
        <v>238</v>
      </c>
      <c r="F116" s="239">
        <f t="shared" si="2834"/>
        <v>0</v>
      </c>
      <c r="G116" s="238">
        <v>13591.129999999999</v>
      </c>
      <c r="H116" s="239">
        <v>40167.596251000003</v>
      </c>
      <c r="I116" s="239">
        <f t="shared" si="2837"/>
        <v>5.4147941065852499e-003</v>
      </c>
      <c r="J116" s="242">
        <f t="shared" si="2836"/>
        <v>27.0739705329262</v>
      </c>
    </row>
    <row r="117">
      <c r="A117" s="235">
        <v>103</v>
      </c>
      <c r="B117" s="243" t="s">
        <v>195</v>
      </c>
      <c r="C117" s="237" t="s">
        <v>90</v>
      </c>
      <c r="D117" s="238">
        <v>81</v>
      </c>
      <c r="E117" s="231">
        <f>VLOOKUP(B:B,'[3]数据透视加工表'!$B:$C,2,0)</f>
        <v>61</v>
      </c>
      <c r="F117" s="239">
        <f t="shared" si="2834"/>
        <v>0</v>
      </c>
      <c r="G117" s="238">
        <v>35281.072999999997</v>
      </c>
      <c r="H117" s="239">
        <v>12037.528</v>
      </c>
      <c r="I117" s="239">
        <f t="shared" si="2837"/>
        <v>0</v>
      </c>
      <c r="J117" s="242">
        <f t="shared" si="2836"/>
        <v>0</v>
      </c>
    </row>
    <row r="118">
      <c r="A118" s="235">
        <v>104</v>
      </c>
      <c r="B118" s="243" t="s">
        <v>196</v>
      </c>
      <c r="C118" s="237" t="s">
        <v>90</v>
      </c>
      <c r="D118" s="238">
        <v>94</v>
      </c>
      <c r="E118" s="231">
        <f>VLOOKUP(B:B,'[3]数据透视加工表'!$B:$C,2,0)</f>
        <v>81</v>
      </c>
      <c r="F118" s="239">
        <f t="shared" si="2834"/>
        <v>0</v>
      </c>
      <c r="G118" s="238">
        <v>39147.016000000003</v>
      </c>
      <c r="H118" s="239">
        <v>58630.385000000002</v>
      </c>
      <c r="I118" s="239">
        <f t="shared" si="2837"/>
        <v>7.9036709386591797e-003</v>
      </c>
      <c r="J118" s="242">
        <f t="shared" si="2836"/>
        <v>39.518354693295898</v>
      </c>
    </row>
    <row r="119" hidden="1">
      <c r="A119" s="228"/>
      <c r="B119" s="229" t="s">
        <v>385</v>
      </c>
      <c r="C119" s="230"/>
      <c r="D119" s="231"/>
      <c r="E119" s="231"/>
      <c r="F119" s="232"/>
      <c r="G119" s="231"/>
      <c r="H119" s="232">
        <v>154104.64000000001</v>
      </c>
      <c r="I119" s="239">
        <f>IF((H119-G119)&gt;0,1*H119/$H$149,0)</f>
        <v>2.0774080959566201e-002</v>
      </c>
      <c r="J119" s="234"/>
    </row>
    <row r="120">
      <c r="A120" s="235">
        <v>105</v>
      </c>
      <c r="B120" s="243" t="s">
        <v>199</v>
      </c>
      <c r="C120" s="237" t="s">
        <v>78</v>
      </c>
      <c r="D120" s="238">
        <v>83</v>
      </c>
      <c r="E120" s="231">
        <f>VLOOKUP(B:B,'[3]数据透视加工表'!$B:$C,2,0)</f>
        <v>109</v>
      </c>
      <c r="F120" s="239">
        <f t="shared" si="2834"/>
        <v>7.5328265376641296e-003</v>
      </c>
      <c r="G120" s="238">
        <v>11254.6</v>
      </c>
      <c r="H120" s="239">
        <v>75028.982999999993</v>
      </c>
      <c r="I120" s="239">
        <f t="shared" ref="I120:I124" si="2838">IF((H120-G120)&gt;0,H120/$H$149,0)</f>
        <v>1.01142844703178e-002</v>
      </c>
      <c r="J120" s="242">
        <f t="shared" si="2836"/>
        <v>88.235555039909698</v>
      </c>
    </row>
    <row r="121">
      <c r="A121" s="235">
        <v>106</v>
      </c>
      <c r="B121" s="243" t="s">
        <v>200</v>
      </c>
      <c r="C121" s="237" t="s">
        <v>90</v>
      </c>
      <c r="D121" s="238">
        <v>126</v>
      </c>
      <c r="E121" s="231">
        <f>VLOOKUP(B:B,'[3]数据透视加工表'!$B:$C,2,0)</f>
        <v>113</v>
      </c>
      <c r="F121" s="239">
        <f t="shared" si="2834"/>
        <v>0</v>
      </c>
      <c r="G121" s="238">
        <v>24847.330999999998</v>
      </c>
      <c r="H121" s="239">
        <v>81860.139999999999</v>
      </c>
      <c r="I121" s="239">
        <f t="shared" si="2838"/>
        <v>1.10351588097634e-002</v>
      </c>
      <c r="J121" s="242">
        <f t="shared" si="2836"/>
        <v>55.175794048817203</v>
      </c>
    </row>
    <row r="122">
      <c r="A122" s="235">
        <v>107</v>
      </c>
      <c r="B122" s="243" t="s">
        <v>201</v>
      </c>
      <c r="C122" s="237" t="s">
        <v>90</v>
      </c>
      <c r="D122" s="238">
        <v>29</v>
      </c>
      <c r="E122" s="231">
        <f>VLOOKUP(B:B,'[3]数据透视加工表'!$B:$C,2,0)</f>
        <v>10</v>
      </c>
      <c r="F122" s="239">
        <f t="shared" si="2834"/>
        <v>0</v>
      </c>
      <c r="G122" s="238">
        <v>25657.529999999999</v>
      </c>
      <c r="H122" s="239">
        <v>161305.58768200001</v>
      </c>
      <c r="I122" s="239">
        <f t="shared" si="2838"/>
        <v>2.17448049438114e-002</v>
      </c>
      <c r="J122" s="242">
        <f t="shared" si="2836"/>
        <v>108.724024719057</v>
      </c>
    </row>
    <row r="123">
      <c r="A123" s="235">
        <v>108</v>
      </c>
      <c r="B123" s="243" t="s">
        <v>202</v>
      </c>
      <c r="C123" s="237" t="s">
        <v>90</v>
      </c>
      <c r="D123" s="238">
        <v>246</v>
      </c>
      <c r="E123" s="231">
        <f>VLOOKUP(B:B,'[3]数据透视加工表'!$B:$C,2,0)</f>
        <v>102</v>
      </c>
      <c r="F123" s="239">
        <f t="shared" si="2834"/>
        <v>0</v>
      </c>
      <c r="G123" s="238">
        <v>18661.029999999999</v>
      </c>
      <c r="H123" s="239">
        <v>44653.959317000001</v>
      </c>
      <c r="I123" s="239">
        <f t="shared" si="2838"/>
        <v>6.0195784242222201e-003</v>
      </c>
      <c r="J123" s="242">
        <f t="shared" si="2836"/>
        <v>30.097892121111101</v>
      </c>
    </row>
    <row r="124">
      <c r="A124" s="235">
        <v>109</v>
      </c>
      <c r="B124" s="243" t="s">
        <v>203</v>
      </c>
      <c r="C124" s="237" t="s">
        <v>90</v>
      </c>
      <c r="D124" s="238">
        <v>70</v>
      </c>
      <c r="E124" s="231">
        <f>VLOOKUP(B:B,'[3]数据透视加工表'!$B:$C,2,0)</f>
        <v>25</v>
      </c>
      <c r="F124" s="239">
        <f t="shared" si="2834"/>
        <v>0</v>
      </c>
      <c r="G124" s="238">
        <v>36003.406199999998</v>
      </c>
      <c r="H124" s="239">
        <v>45643</v>
      </c>
      <c r="I124" s="239">
        <f t="shared" si="2838"/>
        <v>6.1529060853552503e-003</v>
      </c>
      <c r="J124" s="242">
        <f t="shared" si="2836"/>
        <v>30.764530426776201</v>
      </c>
    </row>
    <row r="125" hidden="1">
      <c r="A125" s="228"/>
      <c r="B125" s="229" t="s">
        <v>458</v>
      </c>
      <c r="C125" s="230"/>
      <c r="D125" s="231"/>
      <c r="E125" s="231"/>
      <c r="F125" s="232"/>
      <c r="G125" s="231"/>
      <c r="H125" s="232">
        <v>63616.472399999999</v>
      </c>
      <c r="I125" s="239">
        <f>IF((H125-G125)&gt;0,1*H125/$H$149,0)</f>
        <v>8.5758206112392706e-003</v>
      </c>
      <c r="J125" s="234"/>
    </row>
    <row r="126">
      <c r="A126" s="235">
        <v>110</v>
      </c>
      <c r="B126" s="243" t="s">
        <v>206</v>
      </c>
      <c r="C126" s="237" t="s">
        <v>78</v>
      </c>
      <c r="D126" s="238">
        <v>2</v>
      </c>
      <c r="E126" s="231">
        <f>VLOOKUP(B:B,'[3]数据透视加工表'!$B:$C,2,0)</f>
        <v>72</v>
      </c>
      <c r="F126" s="239">
        <f t="shared" si="2834"/>
        <v>4.9758120248790602e-003</v>
      </c>
      <c r="G126" s="238">
        <v>4613.0508</v>
      </c>
      <c r="H126" s="239">
        <v>24686.580000000002</v>
      </c>
      <c r="I126" s="239">
        <f t="shared" ref="I126:I130" si="2839">IF((H126-G126)&gt;0,H126/$H$149,0)</f>
        <v>3.3278752121597898e-003</v>
      </c>
      <c r="J126" s="242">
        <f t="shared" si="2836"/>
        <v>41.518436185194197</v>
      </c>
    </row>
    <row r="127">
      <c r="A127" s="235">
        <v>111</v>
      </c>
      <c r="B127" s="243" t="s">
        <v>207</v>
      </c>
      <c r="C127" s="237" t="s">
        <v>90</v>
      </c>
      <c r="D127" s="238">
        <v>93</v>
      </c>
      <c r="E127" s="231">
        <f>VLOOKUP(B:B,'[3]数据透视加工表'!$B:$C,2,0)</f>
        <v>80</v>
      </c>
      <c r="F127" s="239">
        <f t="shared" si="2834"/>
        <v>0</v>
      </c>
      <c r="G127" s="238">
        <v>21845.830000000002</v>
      </c>
      <c r="H127" s="239">
        <v>61950.650000000001</v>
      </c>
      <c r="I127" s="239">
        <f t="shared" si="2839"/>
        <v>8.3512593689440504e-003</v>
      </c>
      <c r="J127" s="242">
        <f t="shared" si="2836"/>
        <v>41.756296844720197</v>
      </c>
    </row>
    <row r="128">
      <c r="A128" s="235">
        <v>112</v>
      </c>
      <c r="B128" s="243" t="s">
        <v>208</v>
      </c>
      <c r="C128" s="237" t="s">
        <v>90</v>
      </c>
      <c r="D128" s="238">
        <v>244</v>
      </c>
      <c r="E128" s="231">
        <f>VLOOKUP(B:B,'[3]数据透视加工表'!$B:$C,2,0)</f>
        <v>163</v>
      </c>
      <c r="F128" s="239">
        <f t="shared" si="2834"/>
        <v>0</v>
      </c>
      <c r="G128" s="238">
        <v>31173.203000000001</v>
      </c>
      <c r="H128" s="239">
        <v>38385.5</v>
      </c>
      <c r="I128" s="239">
        <f t="shared" si="2839"/>
        <v>5.1745585640602899e-003</v>
      </c>
      <c r="J128" s="242">
        <f t="shared" si="2836"/>
        <v>25.872792820301498</v>
      </c>
    </row>
    <row r="129">
      <c r="A129" s="235">
        <v>113</v>
      </c>
      <c r="B129" s="243" t="s">
        <v>209</v>
      </c>
      <c r="C129" s="237" t="s">
        <v>78</v>
      </c>
      <c r="D129" s="238">
        <v>88</v>
      </c>
      <c r="E129" s="231">
        <f>VLOOKUP(B:B,'[3]数据透视加工表'!$B:$C,2,0)</f>
        <v>155</v>
      </c>
      <c r="F129" s="239">
        <f t="shared" si="2834"/>
        <v>1.07118175535591e-002</v>
      </c>
      <c r="G129" s="238">
        <v>5997</v>
      </c>
      <c r="H129" s="239">
        <v>71363.059999999998</v>
      </c>
      <c r="I129" s="239">
        <f t="shared" si="2839"/>
        <v>9.6200996022078201e-003</v>
      </c>
      <c r="J129" s="242">
        <f t="shared" si="2836"/>
        <v>101.65958577883499</v>
      </c>
    </row>
    <row r="130">
      <c r="A130" s="235">
        <v>114</v>
      </c>
      <c r="B130" s="243" t="s">
        <v>210</v>
      </c>
      <c r="C130" s="237" t="s">
        <v>93</v>
      </c>
      <c r="D130" s="238">
        <v>248</v>
      </c>
      <c r="E130" s="231">
        <f>VLOOKUP(B:B,'[3]数据透视加工表'!$B:$C,2,0)</f>
        <v>207</v>
      </c>
      <c r="F130" s="239">
        <f t="shared" si="2834"/>
        <v>0</v>
      </c>
      <c r="G130" s="238">
        <v>59016.559399999998</v>
      </c>
      <c r="H130" s="239">
        <v>36927.25</v>
      </c>
      <c r="I130" s="239">
        <f t="shared" si="2839"/>
        <v>0</v>
      </c>
      <c r="J130" s="242">
        <f t="shared" si="2836"/>
        <v>0</v>
      </c>
    </row>
    <row r="131" hidden="1">
      <c r="A131" s="228"/>
      <c r="B131" s="229" t="s">
        <v>386</v>
      </c>
      <c r="C131" s="230"/>
      <c r="D131" s="231"/>
      <c r="E131" s="231"/>
      <c r="F131" s="232"/>
      <c r="G131" s="231"/>
      <c r="H131" s="232">
        <v>31875.470000000001</v>
      </c>
      <c r="I131" s="239">
        <f>IF((H131-G131)&gt;0,1*H131/$H$149,0)</f>
        <v>4.2969737601945201e-003</v>
      </c>
      <c r="J131" s="234"/>
    </row>
    <row r="132">
      <c r="A132" s="235">
        <v>115</v>
      </c>
      <c r="B132" s="243" t="s">
        <v>213</v>
      </c>
      <c r="C132" s="237" t="s">
        <v>93</v>
      </c>
      <c r="D132" s="238">
        <v>146</v>
      </c>
      <c r="E132" s="231">
        <f>VLOOKUP(B:B,'[3]数据透视加工表'!$B:$C,2,0)</f>
        <v>197</v>
      </c>
      <c r="F132" s="239">
        <f t="shared" si="2834"/>
        <v>1.3614374568071901e-002</v>
      </c>
      <c r="G132" s="238">
        <v>103719.855807</v>
      </c>
      <c r="H132" s="239">
        <v>35067.599999999999</v>
      </c>
      <c r="I132" s="239">
        <f t="shared" ref="I132:I135" si="2840">IF((H132-G132)&gt;0,H132/$H$149,0)</f>
        <v>0</v>
      </c>
      <c r="J132" s="242">
        <f t="shared" si="2836"/>
        <v>68.071872840359404</v>
      </c>
    </row>
    <row r="133">
      <c r="A133" s="235">
        <v>116</v>
      </c>
      <c r="B133" s="243" t="s">
        <v>214</v>
      </c>
      <c r="C133" s="237" t="s">
        <v>93</v>
      </c>
      <c r="D133" s="238">
        <v>95</v>
      </c>
      <c r="E133" s="231">
        <f>VLOOKUP(B:B,'[3]数据透视加工表'!$B:$C,2,0)</f>
        <v>242</v>
      </c>
      <c r="F133" s="239">
        <f t="shared" si="2834"/>
        <v>1.67242570836213e-002</v>
      </c>
      <c r="G133" s="238">
        <v>108783.1814</v>
      </c>
      <c r="H133" s="239">
        <v>81922.350000000006</v>
      </c>
      <c r="I133" s="239">
        <f t="shared" si="2840"/>
        <v>0</v>
      </c>
      <c r="J133" s="242">
        <f t="shared" si="2836"/>
        <v>83.621285418106396</v>
      </c>
    </row>
    <row r="134">
      <c r="A134" s="235">
        <v>117</v>
      </c>
      <c r="B134" s="243" t="s">
        <v>215</v>
      </c>
      <c r="C134" s="237" t="s">
        <v>93</v>
      </c>
      <c r="D134" s="238">
        <v>96</v>
      </c>
      <c r="E134" s="231">
        <f>VLOOKUP(B:B,'[3]数据透视加工表'!$B:$C,2,0)</f>
        <v>135</v>
      </c>
      <c r="F134" s="239">
        <f t="shared" si="2834"/>
        <v>9.3296475466482405e-003</v>
      </c>
      <c r="G134" s="238">
        <v>55707.884597999997</v>
      </c>
      <c r="H134" s="239">
        <f>VLOOKUP(B:B,[3]数据透视加工表!$B:$D,3,0)</f>
        <v>81860.139999999999</v>
      </c>
      <c r="I134" s="239">
        <f t="shared" si="2840"/>
        <v>1.10351588097634e-002</v>
      </c>
      <c r="J134" s="242">
        <f t="shared" si="2836"/>
        <v>101.824031782058</v>
      </c>
    </row>
    <row r="135">
      <c r="A135" s="235">
        <v>118</v>
      </c>
      <c r="B135" s="243" t="s">
        <v>216</v>
      </c>
      <c r="C135" s="237" t="s">
        <v>93</v>
      </c>
      <c r="D135" s="238">
        <v>739</v>
      </c>
      <c r="E135" s="231">
        <f>VLOOKUP(B:B,'[3]数据透视加工表'!$B:$C,2,0)</f>
        <v>268</v>
      </c>
      <c r="F135" s="239">
        <f t="shared" si="2834"/>
        <v>0</v>
      </c>
      <c r="G135" s="238">
        <v>99429.583299999998</v>
      </c>
      <c r="H135" s="239">
        <f>VLOOKUP(B:B,'[3]数据透视加工表'!$B:$D,3,0)</f>
        <v>161305.58768200001</v>
      </c>
      <c r="I135" s="239">
        <f t="shared" si="2840"/>
        <v>2.17448049438114e-002</v>
      </c>
      <c r="J135" s="242">
        <f t="shared" si="2836"/>
        <v>108.724024719057</v>
      </c>
    </row>
    <row r="136" hidden="1">
      <c r="A136" s="228"/>
      <c r="B136" s="229" t="s">
        <v>462</v>
      </c>
      <c r="C136" s="230"/>
      <c r="D136" s="231"/>
      <c r="E136" s="231"/>
      <c r="F136" s="232"/>
      <c r="G136" s="231"/>
      <c r="H136" s="232"/>
      <c r="I136" s="239">
        <f>IF((H136-G136)&gt;0,1*H136/$H$149,0)</f>
        <v>0</v>
      </c>
      <c r="J136" s="234"/>
    </row>
    <row r="137" ht="27">
      <c r="A137" s="235">
        <v>119</v>
      </c>
      <c r="B137" s="243" t="s">
        <v>219</v>
      </c>
      <c r="C137" s="237" t="s">
        <v>93</v>
      </c>
      <c r="D137" s="238">
        <v>68</v>
      </c>
      <c r="E137" s="231">
        <f>VLOOKUP(B:B,'[3]数据透视加工表'!$B:$C,2,0)</f>
        <v>100</v>
      </c>
      <c r="F137" s="239">
        <f t="shared" si="2834"/>
        <v>6.9108500345542497e-003</v>
      </c>
      <c r="G137" s="238">
        <v>47789.466</v>
      </c>
      <c r="H137" s="239">
        <f>VLOOKUP(B:B,'[3]数据透视加工表'!$B:$D,3,0)</f>
        <v>44653.959317000001</v>
      </c>
      <c r="I137" s="239">
        <f t="shared" ref="I137:I139" si="2841">IF((H137-G137)&gt;0,H137/$H$149,0)</f>
        <v>0</v>
      </c>
      <c r="J137" s="242">
        <f t="shared" si="2836"/>
        <v>34.554250172771297</v>
      </c>
    </row>
    <row r="138">
      <c r="A138" s="235">
        <v>120</v>
      </c>
      <c r="B138" s="243" t="s">
        <v>220</v>
      </c>
      <c r="C138" s="237" t="s">
        <v>93</v>
      </c>
      <c r="D138" s="238">
        <v>68</v>
      </c>
      <c r="E138" s="231">
        <f>VLOOKUP(B:B,'[3]数据透视加工表'!$B:$C,2,0)</f>
        <v>62</v>
      </c>
      <c r="F138" s="239">
        <f t="shared" si="2834"/>
        <v>0</v>
      </c>
      <c r="G138" s="238">
        <v>35379.482900000003</v>
      </c>
      <c r="H138" s="239">
        <f>VLOOKUP(B:B,'[3]数据透视加工表'!$B:$D,3,0)</f>
        <v>45643</v>
      </c>
      <c r="I138" s="239">
        <f t="shared" si="2841"/>
        <v>6.1529060853552503e-003</v>
      </c>
      <c r="J138" s="242">
        <f t="shared" si="2836"/>
        <v>30.764530426776201</v>
      </c>
    </row>
    <row r="139">
      <c r="A139" s="235">
        <v>121</v>
      </c>
      <c r="B139" s="243" t="s">
        <v>221</v>
      </c>
      <c r="C139" s="237" t="s">
        <v>93</v>
      </c>
      <c r="D139" s="238">
        <v>65</v>
      </c>
      <c r="E139" s="231">
        <f>VLOOKUP(B:B,'[3]数据透视加工表'!$B:$C,2,0)</f>
        <v>29</v>
      </c>
      <c r="F139" s="239">
        <f t="shared" si="2834"/>
        <v>0</v>
      </c>
      <c r="G139" s="238">
        <v>64062.610000000001</v>
      </c>
      <c r="H139" s="239">
        <f>VLOOKUP(B:B,'[3]数据透视加工表'!$B:$D,3,0)</f>
        <v>63616.472399999999</v>
      </c>
      <c r="I139" s="239">
        <f t="shared" si="2841"/>
        <v>0</v>
      </c>
      <c r="J139" s="242">
        <f t="shared" si="2836"/>
        <v>0</v>
      </c>
    </row>
    <row r="140" hidden="1">
      <c r="A140" s="228"/>
      <c r="B140" s="229" t="s">
        <v>387</v>
      </c>
      <c r="C140" s="230"/>
      <c r="D140" s="231"/>
      <c r="E140" s="231"/>
      <c r="F140" s="232"/>
      <c r="G140" s="231"/>
      <c r="H140" s="232"/>
      <c r="I140" s="239">
        <f t="shared" ref="I138:I140" si="2842">IF((H140-G140)&gt;0,1*H140/$H$149,0)</f>
        <v>0</v>
      </c>
      <c r="J140" s="234"/>
    </row>
    <row r="141">
      <c r="A141" s="235">
        <v>122</v>
      </c>
      <c r="B141" s="243" t="s">
        <v>224</v>
      </c>
      <c r="C141" s="237" t="s">
        <v>90</v>
      </c>
      <c r="D141" s="238">
        <v>123</v>
      </c>
      <c r="E141" s="231">
        <f>VLOOKUP(B:B,'[3]数据透视加工表'!$B:$C,2,0)</f>
        <v>89</v>
      </c>
      <c r="F141" s="239">
        <f t="shared" si="2834"/>
        <v>0</v>
      </c>
      <c r="G141" s="238">
        <v>33193.5</v>
      </c>
      <c r="H141" s="239">
        <f>VLOOKUP(B:B,'[3]数据透视加工表'!$B:$D,3,0)</f>
        <v>24686.580000000002</v>
      </c>
      <c r="I141" s="239">
        <f t="shared" ref="I141:I149" si="2843">IF((H141-G141)&gt;0,H141/$H$149,0)</f>
        <v>0</v>
      </c>
      <c r="J141" s="242">
        <f t="shared" si="2836"/>
        <v>0</v>
      </c>
    </row>
    <row r="142">
      <c r="A142" s="235">
        <v>123</v>
      </c>
      <c r="B142" s="243" t="s">
        <v>225</v>
      </c>
      <c r="C142" s="237" t="s">
        <v>90</v>
      </c>
      <c r="D142" s="238">
        <v>107</v>
      </c>
      <c r="E142" s="231">
        <f>VLOOKUP(B:B,'[3]数据透视加工表'!$B:$C,2,0)</f>
        <v>220</v>
      </c>
      <c r="F142" s="239">
        <f t="shared" si="2834"/>
        <v>1.52038700760194e-002</v>
      </c>
      <c r="G142" s="238">
        <v>44063.925000000003</v>
      </c>
      <c r="H142" s="239">
        <f>VLOOKUP(B:B,'[3]数据透视加工表'!$B:$D,3,0)</f>
        <v>61950.650000000001</v>
      </c>
      <c r="I142" s="239">
        <f t="shared" si="2843"/>
        <v>8.3512593689440504e-003</v>
      </c>
      <c r="J142" s="242">
        <f t="shared" si="2836"/>
        <v>117.77564722481701</v>
      </c>
    </row>
    <row r="143">
      <c r="A143" s="235">
        <v>124</v>
      </c>
      <c r="B143" s="243" t="s">
        <v>226</v>
      </c>
      <c r="C143" s="237" t="s">
        <v>90</v>
      </c>
      <c r="D143" s="238">
        <v>32</v>
      </c>
      <c r="E143" s="231">
        <f>VLOOKUP(B:B,'[3]数据透视加工表'!$B:$C,2,0)</f>
        <v>86</v>
      </c>
      <c r="F143" s="239">
        <f t="shared" si="2834"/>
        <v>5.9433310297166498e-003</v>
      </c>
      <c r="G143" s="238">
        <v>35233.43</v>
      </c>
      <c r="H143" s="239">
        <f>VLOOKUP(B:B,'[3]数据透视加工表'!$B:$D,3,0)</f>
        <v>38385.5</v>
      </c>
      <c r="I143" s="239">
        <f t="shared" si="2843"/>
        <v>5.1745585640602899e-003</v>
      </c>
      <c r="J143" s="242">
        <f t="shared" si="2836"/>
        <v>55.589447968884699</v>
      </c>
    </row>
    <row r="144">
      <c r="A144" s="235">
        <v>125</v>
      </c>
      <c r="B144" s="243" t="s">
        <v>227</v>
      </c>
      <c r="C144" s="237" t="s">
        <v>90</v>
      </c>
      <c r="D144" s="238">
        <v>86</v>
      </c>
      <c r="E144" s="231">
        <f>VLOOKUP(B:B,'[3]数据透视加工表'!$B:$C,2,0)</f>
        <v>170</v>
      </c>
      <c r="F144" s="239">
        <f t="shared" si="2834"/>
        <v>1.17484450587422e-002</v>
      </c>
      <c r="G144" s="238">
        <v>30912.337200000002</v>
      </c>
      <c r="H144" s="239">
        <f>VLOOKUP(B:B,'[3]数据透视加工表'!$B:$D,3,0)</f>
        <v>71363.059999999998</v>
      </c>
      <c r="I144" s="239">
        <f t="shared" si="2843"/>
        <v>9.6200996022078201e-003</v>
      </c>
      <c r="J144" s="242">
        <f t="shared" si="2836"/>
        <v>106.84272330475</v>
      </c>
    </row>
    <row r="145">
      <c r="A145" s="235">
        <v>126</v>
      </c>
      <c r="B145" s="243" t="s">
        <v>228</v>
      </c>
      <c r="C145" s="237" t="s">
        <v>90</v>
      </c>
      <c r="D145" s="238">
        <v>49</v>
      </c>
      <c r="E145" s="231">
        <f>VLOOKUP(B:B,'[3]数据透视加工表'!$B:$C,2,0)</f>
        <v>115</v>
      </c>
      <c r="F145" s="239">
        <f t="shared" si="2834"/>
        <v>7.9474775397373899e-003</v>
      </c>
      <c r="G145" s="238">
        <v>26626.610000000001</v>
      </c>
      <c r="H145" s="239">
        <f>VLOOKUP(B:B,'[3]数据透视加工表'!$B:$D,3,0)</f>
        <v>36927.25</v>
      </c>
      <c r="I145" s="239">
        <f t="shared" si="2843"/>
        <v>4.9779791258338498e-003</v>
      </c>
      <c r="J145" s="242">
        <f t="shared" si="2836"/>
        <v>64.627283327856205</v>
      </c>
    </row>
    <row r="146">
      <c r="A146" s="235">
        <v>127</v>
      </c>
      <c r="B146" s="243" t="s">
        <v>229</v>
      </c>
      <c r="C146" s="237" t="s">
        <v>90</v>
      </c>
      <c r="D146" s="238">
        <v>76</v>
      </c>
      <c r="E146" s="231">
        <f>VLOOKUP(B:B,'[3]数据透视加工表'!$B:$C,2,0)</f>
        <v>98</v>
      </c>
      <c r="F146" s="239">
        <f t="shared" si="2834"/>
        <v>6.7726330338631598e-003</v>
      </c>
      <c r="G146" s="238">
        <v>16441.000220999998</v>
      </c>
      <c r="H146" s="239">
        <f>VLOOKUP(B:B,'[3]数据透视加工表'!$B:$D,3,0)</f>
        <v>31875.470000000001</v>
      </c>
      <c r="I146" s="239">
        <f t="shared" si="2843"/>
        <v>4.2969737601945201e-003</v>
      </c>
      <c r="J146" s="242">
        <f t="shared" si="2836"/>
        <v>55.348033970288498</v>
      </c>
    </row>
    <row r="147">
      <c r="A147" s="235">
        <v>128</v>
      </c>
      <c r="B147" s="243" t="s">
        <v>230</v>
      </c>
      <c r="C147" s="237" t="s">
        <v>90</v>
      </c>
      <c r="D147" s="238">
        <v>221</v>
      </c>
      <c r="E147" s="231">
        <f>VLOOKUP(B:B,'[3]数据透视加工表'!$B:$C,2,0)</f>
        <v>106</v>
      </c>
      <c r="F147" s="239">
        <f t="shared" si="2834"/>
        <v>0</v>
      </c>
      <c r="G147" s="238">
        <v>34319.860000000001</v>
      </c>
      <c r="H147" s="239">
        <f>VLOOKUP(B:B,'[3]数据透视加工表'!$B:$D,3,0)</f>
        <v>35067.599999999999</v>
      </c>
      <c r="I147" s="239">
        <f t="shared" si="2843"/>
        <v>4.7272889476766104e-003</v>
      </c>
      <c r="J147" s="242">
        <f t="shared" si="2836"/>
        <v>23.636444738383101</v>
      </c>
    </row>
    <row r="148">
      <c r="A148" s="235">
        <v>129</v>
      </c>
      <c r="B148" s="243" t="s">
        <v>231</v>
      </c>
      <c r="C148" s="237" t="s">
        <v>90</v>
      </c>
      <c r="D148" s="238">
        <v>47</v>
      </c>
      <c r="E148" s="231">
        <f>VLOOKUP(B:B,'[3]数据透视加工表'!$B:$C,2,0)</f>
        <v>140</v>
      </c>
      <c r="F148" s="239">
        <f t="shared" si="2834"/>
        <v>9.6751900483759493e-003</v>
      </c>
      <c r="G148" s="238">
        <v>37370.493850999999</v>
      </c>
      <c r="H148" s="239">
        <f>VLOOKUP(B:B,'[3]数据透视加工表'!$B:$D,3,0)</f>
        <v>81922.350000000006</v>
      </c>
      <c r="I148" s="239">
        <f t="shared" si="2843"/>
        <v>1.10435450308175e-002</v>
      </c>
      <c r="J148" s="242">
        <f t="shared" si="2836"/>
        <v>103.593675395967</v>
      </c>
    </row>
    <row r="149">
      <c r="D149" s="135">
        <f t="shared" ref="D149:K149" si="2844">SUM(D4:D148)</f>
        <v>16691</v>
      </c>
      <c r="E149" s="135">
        <f t="shared" si="2844"/>
        <v>14470</v>
      </c>
      <c r="F149" s="416">
        <f t="shared" si="2844"/>
        <v>0.50891499654457495</v>
      </c>
      <c r="G149" s="135">
        <f t="shared" si="2844"/>
        <v>3956823.8323559999</v>
      </c>
      <c r="H149" s="135">
        <f t="shared" si="2844"/>
        <v>7418120.7004989898</v>
      </c>
      <c r="I149" s="417">
        <f t="shared" si="2843"/>
        <v>1</v>
      </c>
      <c r="J149" s="135">
        <f>SUM(J4:J148)</f>
        <v>6160.8380209686002</v>
      </c>
    </row>
  </sheetData>
  <autoFilter ref="A3:L149">
    <filterColumn colId="1">
      <colorFilter dxfId="0"/>
    </filterColumn>
  </autoFilter>
  <mergeCells count="1">
    <mergeCell ref="A2:J2"/>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2">
    <outlinePr applyStyles="0" summaryBelow="1" summaryRight="1" showOutlineSymbols="1"/>
    <pageSetUpPr autoPageBreaks="1" fitToPage="0"/>
  </sheetPr>
  <sheetViews>
    <sheetView view="pageBreakPreview" zoomScale="100" workbookViewId="0">
      <selection activeCell="A1" activeCellId="0" sqref="A1:K1"/>
    </sheetView>
  </sheetViews>
  <sheetFormatPr defaultColWidth="9" defaultRowHeight="13.5"/>
  <cols>
    <col customWidth="1" min="1" max="1" style="98" width="7.6083333333333298"/>
    <col customWidth="1" min="2" max="2" style="98" width="9.875"/>
    <col customWidth="1" min="3" max="3" style="98" width="10.875"/>
    <col customWidth="1" min="4" max="4" style="98" width="9.6416666666666693"/>
    <col customWidth="1" min="5" max="5" style="98" width="11.6833333333333"/>
    <col customWidth="1" min="6" max="6" style="98" width="11.408333333333299"/>
    <col customWidth="1" min="7" max="7" style="98" width="11.258333333333301"/>
    <col customWidth="1" min="8" max="8" style="98" width="10.1833333333333"/>
    <col customWidth="1" min="9" max="9" style="98" width="11.275"/>
    <col customWidth="1" min="10" max="10" style="98" width="12.758333333333301"/>
    <col customWidth="1" min="11" max="11" style="98" width="12"/>
    <col customWidth="1" min="12" max="12" style="98" width="12.625"/>
    <col min="13" max="16384" style="98" width="9"/>
  </cols>
  <sheetData>
    <row r="1" ht="24" customHeight="1">
      <c r="A1" s="99" t="s">
        <v>232</v>
      </c>
      <c r="B1" s="99"/>
      <c r="C1" s="99" t="s">
        <v>233</v>
      </c>
      <c r="D1" s="99" t="s">
        <v>233</v>
      </c>
      <c r="E1" s="99" t="s">
        <v>233</v>
      </c>
      <c r="F1" s="99" t="s">
        <v>233</v>
      </c>
      <c r="G1" s="99" t="s">
        <v>233</v>
      </c>
      <c r="H1" s="99" t="s">
        <v>233</v>
      </c>
      <c r="I1" s="99" t="s">
        <v>233</v>
      </c>
      <c r="J1" s="99" t="s">
        <v>233</v>
      </c>
      <c r="K1" s="99" t="s">
        <v>233</v>
      </c>
    </row>
    <row r="2" ht="30" customHeight="1">
      <c r="A2" s="100" t="s">
        <v>3</v>
      </c>
      <c r="B2" s="100" t="s">
        <v>234</v>
      </c>
      <c r="C2" s="100" t="s">
        <v>235</v>
      </c>
      <c r="D2" s="101" t="s">
        <v>236</v>
      </c>
      <c r="E2" s="101" t="s">
        <v>237</v>
      </c>
      <c r="F2" s="101" t="s">
        <v>238</v>
      </c>
      <c r="G2" s="101" t="s">
        <v>239</v>
      </c>
      <c r="H2" s="101" t="s">
        <v>240</v>
      </c>
      <c r="I2" s="101" t="s">
        <v>241</v>
      </c>
      <c r="J2" s="101" t="s">
        <v>242</v>
      </c>
      <c r="K2" s="101" t="s">
        <v>243</v>
      </c>
      <c r="L2" s="102" t="s">
        <v>244</v>
      </c>
    </row>
    <row r="3" ht="25" customHeight="1">
      <c r="A3" s="103" t="s">
        <v>245</v>
      </c>
      <c r="B3" s="103" t="s">
        <v>59</v>
      </c>
      <c r="C3" s="104" t="e">
        <f>ROUND('[1]表6资金使用成效（预算执行率）原稿'!C32,2)</f>
        <v>#REF!</v>
      </c>
      <c r="D3" s="104" t="e">
        <f>ROUND('[1]表6资金使用成效（预算执行率）原稿'!D32,2)</f>
        <v>#REF!</v>
      </c>
      <c r="E3" s="104" t="e">
        <f>ROUND('[1]表6资金使用成效（预算执行率）原稿'!E32,2)</f>
        <v>#REF!</v>
      </c>
      <c r="F3" s="104" t="e">
        <f>ROUND('[1]表6资金使用成效（预算执行率）原稿'!F32,2)</f>
        <v>#REF!</v>
      </c>
      <c r="G3" s="104" t="e">
        <f>ROUND('[1]表6资金使用成效（预算执行率）原稿'!G32,2)</f>
        <v>#REF!</v>
      </c>
      <c r="H3" s="104" t="e">
        <f>ROUND('[1]表6资金使用成效（预算执行率）原稿'!H32,2)</f>
        <v>#REF!</v>
      </c>
      <c r="I3" s="104" t="e">
        <f>ROUND('[1]表6资金使用成效（预算执行率）原稿'!I32,2)</f>
        <v>#REF!</v>
      </c>
      <c r="J3" s="104" t="e">
        <f>ROUND('[1]表6资金使用成效（预算执行率）原稿'!J32,2)</f>
        <v>#REF!</v>
      </c>
      <c r="K3" s="104" t="e">
        <f>ROUND('[1]表6资金使用成效（预算执行率）原稿'!K32,2)</f>
        <v>#REF!</v>
      </c>
      <c r="L3" s="98" t="e">
        <f t="shared" ref="L3:L66" si="471">1-F3/G3</f>
        <v>#REF!</v>
      </c>
    </row>
    <row r="4" ht="27" customHeight="1">
      <c r="A4" s="103" t="s">
        <v>246</v>
      </c>
      <c r="B4" s="103" t="s">
        <v>101</v>
      </c>
      <c r="C4" s="104" t="e">
        <f>ROUND('[1]表6资金使用成效（预算执行率）原稿'!C33,2)</f>
        <v>#REF!</v>
      </c>
      <c r="D4" s="104" t="e">
        <f>ROUND('[1]表6资金使用成效（预算执行率）原稿'!D33,2)</f>
        <v>#REF!</v>
      </c>
      <c r="E4" s="104" t="e">
        <f>ROUND('[1]表6资金使用成效（预算执行率）原稿'!E33,2)</f>
        <v>#REF!</v>
      </c>
      <c r="F4" s="104" t="e">
        <f>ROUND('[1]表6资金使用成效（预算执行率）原稿'!F33,2)</f>
        <v>#REF!</v>
      </c>
      <c r="G4" s="104" t="e">
        <f>ROUND('[1]表6资金使用成效（预算执行率）原稿'!G33,2)</f>
        <v>#REF!</v>
      </c>
      <c r="H4" s="104" t="e">
        <f>ROUND('[1]表6资金使用成效（预算执行率）原稿'!H33,2)</f>
        <v>#REF!</v>
      </c>
      <c r="I4" s="104" t="e">
        <f>ROUND('[1]表6资金使用成效（预算执行率）原稿'!I33,2)</f>
        <v>#REF!</v>
      </c>
      <c r="J4" s="104" t="e">
        <f>ROUND('[1]表6资金使用成效（预算执行率）原稿'!J33,2)</f>
        <v>#REF!</v>
      </c>
      <c r="K4" s="104" t="e">
        <f>ROUND('[1]表6资金使用成效（预算执行率）原稿'!K33,2)</f>
        <v>#REF!</v>
      </c>
      <c r="L4" s="98" t="e">
        <f t="shared" si="471"/>
        <v>#REF!</v>
      </c>
    </row>
    <row r="5" ht="14.25">
      <c r="A5" s="103" t="s">
        <v>247</v>
      </c>
      <c r="B5" s="103" t="s">
        <v>163</v>
      </c>
      <c r="C5" s="104" t="e">
        <f>ROUND('[1]表6资金使用成效（预算执行率）原稿'!C34,2)</f>
        <v>#REF!</v>
      </c>
      <c r="D5" s="104" t="e">
        <f>ROUND('[1]表6资金使用成效（预算执行率）原稿'!D34,2)</f>
        <v>#REF!</v>
      </c>
      <c r="E5" s="104" t="e">
        <f>ROUND('[1]表6资金使用成效（预算执行率）原稿'!E34,2)</f>
        <v>#REF!</v>
      </c>
      <c r="F5" s="104" t="e">
        <f>ROUND('[1]表6资金使用成效（预算执行率）原稿'!F34,2)</f>
        <v>#REF!</v>
      </c>
      <c r="G5" s="104" t="e">
        <f>ROUND('[1]表6资金使用成效（预算执行率）原稿'!G34,2)</f>
        <v>#REF!</v>
      </c>
      <c r="H5" s="104" t="e">
        <f>ROUND('[1]表6资金使用成效（预算执行率）原稿'!H34,2)</f>
        <v>#REF!</v>
      </c>
      <c r="I5" s="104" t="e">
        <f>ROUND('[1]表6资金使用成效（预算执行率）原稿'!I34,2)</f>
        <v>#REF!</v>
      </c>
      <c r="J5" s="104" t="e">
        <f>ROUND('[1]表6资金使用成效（预算执行率）原稿'!J34,2)</f>
        <v>#REF!</v>
      </c>
      <c r="K5" s="104" t="e">
        <f>ROUND('[1]表6资金使用成效（预算执行率）原稿'!K34,2)</f>
        <v>#REF!</v>
      </c>
      <c r="L5" s="98" t="e">
        <f t="shared" si="471"/>
        <v>#REF!</v>
      </c>
    </row>
    <row r="6" ht="14.25">
      <c r="A6" s="103" t="s">
        <v>248</v>
      </c>
      <c r="B6" s="103" t="s">
        <v>178</v>
      </c>
      <c r="C6" s="104" t="e">
        <f>ROUND('[1]表6资金使用成效（预算执行率）原稿'!C35,2)</f>
        <v>#REF!</v>
      </c>
      <c r="D6" s="104" t="e">
        <f>ROUND('[1]表6资金使用成效（预算执行率）原稿'!D35,2)</f>
        <v>#REF!</v>
      </c>
      <c r="E6" s="104" t="e">
        <f>ROUND('[1]表6资金使用成效（预算执行率）原稿'!E35,2)</f>
        <v>#REF!</v>
      </c>
      <c r="F6" s="104" t="e">
        <f>ROUND('[1]表6资金使用成效（预算执行率）原稿'!F35,2)</f>
        <v>#REF!</v>
      </c>
      <c r="G6" s="104" t="e">
        <f>ROUND('[1]表6资金使用成效（预算执行率）原稿'!G35,2)</f>
        <v>#REF!</v>
      </c>
      <c r="H6" s="104" t="e">
        <f>ROUND('[1]表6资金使用成效（预算执行率）原稿'!H35,2)</f>
        <v>#REF!</v>
      </c>
      <c r="I6" s="104" t="e">
        <f>ROUND('[1]表6资金使用成效（预算执行率）原稿'!I35,2)</f>
        <v>#REF!</v>
      </c>
      <c r="J6" s="104" t="e">
        <f>ROUND('[1]表6资金使用成效（预算执行率）原稿'!J35,2)</f>
        <v>#REF!</v>
      </c>
      <c r="K6" s="104" t="e">
        <f>ROUND('[1]表6资金使用成效（预算执行率）原稿'!K35,2)</f>
        <v>#REF!</v>
      </c>
      <c r="L6" s="98" t="e">
        <f t="shared" si="471"/>
        <v>#REF!</v>
      </c>
    </row>
    <row r="7" ht="14.25">
      <c r="A7" s="103" t="s">
        <v>249</v>
      </c>
      <c r="B7" s="103" t="s">
        <v>179</v>
      </c>
      <c r="C7" s="104" t="e">
        <f>ROUND('[1]表6资金使用成效（预算执行率）原稿'!C36,2)</f>
        <v>#REF!</v>
      </c>
      <c r="D7" s="104" t="e">
        <f>ROUND('[1]表6资金使用成效（预算执行率）原稿'!D36,2)</f>
        <v>#REF!</v>
      </c>
      <c r="E7" s="104" t="e">
        <f>ROUND('[1]表6资金使用成效（预算执行率）原稿'!E36,2)</f>
        <v>#REF!</v>
      </c>
      <c r="F7" s="104" t="e">
        <f>ROUND('[1]表6资金使用成效（预算执行率）原稿'!F36,2)</f>
        <v>#REF!</v>
      </c>
      <c r="G7" s="104" t="e">
        <f>ROUND('[1]表6资金使用成效（预算执行率）原稿'!G36,2)</f>
        <v>#REF!</v>
      </c>
      <c r="H7" s="104" t="e">
        <f>ROUND('[1]表6资金使用成效（预算执行率）原稿'!H36,2)</f>
        <v>#REF!</v>
      </c>
      <c r="I7" s="104" t="e">
        <f>ROUND('[1]表6资金使用成效（预算执行率）原稿'!I36,2)</f>
        <v>#REF!</v>
      </c>
      <c r="J7" s="104" t="e">
        <f>ROUND('[1]表6资金使用成效（预算执行率）原稿'!J36,2)</f>
        <v>#REF!</v>
      </c>
      <c r="K7" s="104" t="e">
        <f>ROUND('[1]表6资金使用成效（预算执行率）原稿'!K36,2)</f>
        <v>#REF!</v>
      </c>
      <c r="L7" s="98" t="e">
        <f t="shared" si="471"/>
        <v>#REF!</v>
      </c>
    </row>
    <row r="8" ht="14.25">
      <c r="A8" s="103" t="s">
        <v>250</v>
      </c>
      <c r="B8" s="103" t="s">
        <v>180</v>
      </c>
      <c r="C8" s="104" t="e">
        <f>ROUND('[1]表6资金使用成效（预算执行率）原稿'!C37,2)</f>
        <v>#REF!</v>
      </c>
      <c r="D8" s="104" t="e">
        <f>ROUND('[1]表6资金使用成效（预算执行率）原稿'!D37,2)</f>
        <v>#REF!</v>
      </c>
      <c r="E8" s="104" t="e">
        <f>ROUND('[1]表6资金使用成效（预算执行率）原稿'!E37,2)</f>
        <v>#REF!</v>
      </c>
      <c r="F8" s="104" t="e">
        <f>ROUND('[1]表6资金使用成效（预算执行率）原稿'!F37,2)</f>
        <v>#REF!</v>
      </c>
      <c r="G8" s="104" t="e">
        <f>ROUND('[1]表6资金使用成效（预算执行率）原稿'!G37,2)</f>
        <v>#REF!</v>
      </c>
      <c r="H8" s="104" t="e">
        <f>ROUND('[1]表6资金使用成效（预算执行率）原稿'!H37,2)</f>
        <v>#REF!</v>
      </c>
      <c r="I8" s="104" t="e">
        <f>ROUND('[1]表6资金使用成效（预算执行率）原稿'!I37,2)</f>
        <v>#REF!</v>
      </c>
      <c r="J8" s="104" t="e">
        <f>ROUND('[1]表6资金使用成效（预算执行率）原稿'!J37,2)</f>
        <v>#REF!</v>
      </c>
      <c r="K8" s="104" t="e">
        <f>ROUND('[1]表6资金使用成效（预算执行率）原稿'!K37,2)</f>
        <v>#REF!</v>
      </c>
      <c r="L8" s="98" t="e">
        <f t="shared" si="471"/>
        <v>#REF!</v>
      </c>
    </row>
    <row r="9" ht="14.25">
      <c r="A9" s="103" t="s">
        <v>251</v>
      </c>
      <c r="B9" s="103" t="s">
        <v>181</v>
      </c>
      <c r="C9" s="104" t="e">
        <f>ROUND('[1]表6资金使用成效（预算执行率）原稿'!C38,2)</f>
        <v>#REF!</v>
      </c>
      <c r="D9" s="104" t="e">
        <f>ROUND('[1]表6资金使用成效（预算执行率）原稿'!D38,2)</f>
        <v>#REF!</v>
      </c>
      <c r="E9" s="104" t="e">
        <f>ROUND('[1]表6资金使用成效（预算执行率）原稿'!E38,2)</f>
        <v>#REF!</v>
      </c>
      <c r="F9" s="104" t="e">
        <f>ROUND('[1]表6资金使用成效（预算执行率）原稿'!F38,2)</f>
        <v>#REF!</v>
      </c>
      <c r="G9" s="104" t="e">
        <f>ROUND('[1]表6资金使用成效（预算执行率）原稿'!G38,2)</f>
        <v>#REF!</v>
      </c>
      <c r="H9" s="104" t="e">
        <f>ROUND('[1]表6资金使用成效（预算执行率）原稿'!H38,2)</f>
        <v>#REF!</v>
      </c>
      <c r="I9" s="104" t="e">
        <f>ROUND('[1]表6资金使用成效（预算执行率）原稿'!I38,2)</f>
        <v>#REF!</v>
      </c>
      <c r="J9" s="104" t="e">
        <f>ROUND('[1]表6资金使用成效（预算执行率）原稿'!J38,2)</f>
        <v>#REF!</v>
      </c>
      <c r="K9" s="104" t="e">
        <f>ROUND('[1]表6资金使用成效（预算执行率）原稿'!K38,2)</f>
        <v>#REF!</v>
      </c>
      <c r="L9" s="98" t="e">
        <f t="shared" si="471"/>
        <v>#REF!</v>
      </c>
    </row>
    <row r="10" ht="14.25">
      <c r="A10" s="103" t="s">
        <v>252</v>
      </c>
      <c r="B10" s="103" t="s">
        <v>182</v>
      </c>
      <c r="C10" s="104" t="e">
        <f>ROUND('[1]表6资金使用成效（预算执行率）原稿'!C39,2)</f>
        <v>#REF!</v>
      </c>
      <c r="D10" s="104" t="e">
        <f>ROUND('[1]表6资金使用成效（预算执行率）原稿'!D39,2)</f>
        <v>#REF!</v>
      </c>
      <c r="E10" s="104" t="e">
        <f>ROUND('[1]表6资金使用成效（预算执行率）原稿'!E39,2)</f>
        <v>#REF!</v>
      </c>
      <c r="F10" s="104" t="e">
        <f>ROUND('[1]表6资金使用成效（预算执行率）原稿'!F39,2)</f>
        <v>#REF!</v>
      </c>
      <c r="G10" s="104" t="e">
        <f>ROUND('[1]表6资金使用成效（预算执行率）原稿'!G39,2)</f>
        <v>#REF!</v>
      </c>
      <c r="H10" s="104" t="e">
        <f>ROUND('[1]表6资金使用成效（预算执行率）原稿'!H39,2)</f>
        <v>#REF!</v>
      </c>
      <c r="I10" s="104" t="e">
        <f>ROUND('[1]表6资金使用成效（预算执行率）原稿'!I39,2)</f>
        <v>#REF!</v>
      </c>
      <c r="J10" s="104" t="e">
        <f>ROUND('[1]表6资金使用成效（预算执行率）原稿'!J39,2)</f>
        <v>#REF!</v>
      </c>
      <c r="K10" s="104" t="e">
        <f>ROUND('[1]表6资金使用成效（预算执行率）原稿'!K39,2)</f>
        <v>#REF!</v>
      </c>
      <c r="L10" s="98" t="e">
        <f t="shared" si="471"/>
        <v>#REF!</v>
      </c>
    </row>
    <row r="11" ht="14.25">
      <c r="A11" s="103" t="s">
        <v>253</v>
      </c>
      <c r="B11" s="103" t="s">
        <v>183</v>
      </c>
      <c r="C11" s="104" t="e">
        <f>ROUND('[1]表6资金使用成效（预算执行率）原稿'!C40,2)</f>
        <v>#REF!</v>
      </c>
      <c r="D11" s="104" t="e">
        <f>ROUND('[1]表6资金使用成效（预算执行率）原稿'!D40,2)</f>
        <v>#REF!</v>
      </c>
      <c r="E11" s="104" t="e">
        <f>ROUND('[1]表6资金使用成效（预算执行率）原稿'!E40,2)</f>
        <v>#REF!</v>
      </c>
      <c r="F11" s="104" t="e">
        <f>ROUND('[1]表6资金使用成效（预算执行率）原稿'!F40,2)</f>
        <v>#REF!</v>
      </c>
      <c r="G11" s="104" t="e">
        <f>ROUND('[1]表6资金使用成效（预算执行率）原稿'!G40,2)</f>
        <v>#REF!</v>
      </c>
      <c r="H11" s="104" t="e">
        <f>ROUND('[1]表6资金使用成效（预算执行率）原稿'!H40,2)</f>
        <v>#REF!</v>
      </c>
      <c r="I11" s="104" t="e">
        <f>ROUND('[1]表6资金使用成效（预算执行率）原稿'!I40,2)</f>
        <v>#REF!</v>
      </c>
      <c r="J11" s="104" t="e">
        <f>ROUND('[1]表6资金使用成效（预算执行率）原稿'!J40,2)</f>
        <v>#REF!</v>
      </c>
      <c r="K11" s="104" t="e">
        <f>ROUND('[1]表6资金使用成效（预算执行率）原稿'!K40,2)</f>
        <v>#REF!</v>
      </c>
      <c r="L11" s="98" t="e">
        <f t="shared" si="471"/>
        <v>#REF!</v>
      </c>
    </row>
    <row r="12" ht="14.25">
      <c r="A12" s="103" t="s">
        <v>254</v>
      </c>
      <c r="B12" s="103" t="s">
        <v>184</v>
      </c>
      <c r="C12" s="104" t="e">
        <f>ROUND('[1]表6资金使用成效（预算执行率）原稿'!C41,2)</f>
        <v>#REF!</v>
      </c>
      <c r="D12" s="104" t="e">
        <f>ROUND('[1]表6资金使用成效（预算执行率）原稿'!D41,2)</f>
        <v>#REF!</v>
      </c>
      <c r="E12" s="104" t="e">
        <f>ROUND('[1]表6资金使用成效（预算执行率）原稿'!E41,2)</f>
        <v>#REF!</v>
      </c>
      <c r="F12" s="104" t="e">
        <f>ROUND('[1]表6资金使用成效（预算执行率）原稿'!F41,2)</f>
        <v>#REF!</v>
      </c>
      <c r="G12" s="104" t="e">
        <f>ROUND('[1]表6资金使用成效（预算执行率）原稿'!G41,2)</f>
        <v>#REF!</v>
      </c>
      <c r="H12" s="104" t="e">
        <f>ROUND('[1]表6资金使用成效（预算执行率）原稿'!H41,2)</f>
        <v>#REF!</v>
      </c>
      <c r="I12" s="104" t="e">
        <f>ROUND('[1]表6资金使用成效（预算执行率）原稿'!I41,2)</f>
        <v>#REF!</v>
      </c>
      <c r="J12" s="104" t="e">
        <f>ROUND('[1]表6资金使用成效（预算执行率）原稿'!J41,2)</f>
        <v>#REF!</v>
      </c>
      <c r="K12" s="104" t="e">
        <f>ROUND('[1]表6资金使用成效（预算执行率）原稿'!K41,2)</f>
        <v>#REF!</v>
      </c>
      <c r="L12" s="98" t="e">
        <f t="shared" si="471"/>
        <v>#REF!</v>
      </c>
    </row>
    <row r="13" ht="14.25">
      <c r="A13" s="103" t="s">
        <v>255</v>
      </c>
      <c r="B13" s="103" t="s">
        <v>185</v>
      </c>
      <c r="C13" s="104" t="e">
        <f>ROUND('[1]表6资金使用成效（预算执行率）原稿'!C42,2)</f>
        <v>#REF!</v>
      </c>
      <c r="D13" s="104" t="e">
        <f>ROUND('[1]表6资金使用成效（预算执行率）原稿'!D42,2)</f>
        <v>#REF!</v>
      </c>
      <c r="E13" s="104" t="e">
        <f>ROUND('[1]表6资金使用成效（预算执行率）原稿'!E42,2)</f>
        <v>#REF!</v>
      </c>
      <c r="F13" s="104" t="e">
        <f>ROUND('[1]表6资金使用成效（预算执行率）原稿'!F42,2)</f>
        <v>#REF!</v>
      </c>
      <c r="G13" s="104" t="e">
        <f>ROUND('[1]表6资金使用成效（预算执行率）原稿'!G42,2)</f>
        <v>#REF!</v>
      </c>
      <c r="H13" s="104" t="e">
        <f>ROUND('[1]表6资金使用成效（预算执行率）原稿'!H42,2)</f>
        <v>#REF!</v>
      </c>
      <c r="I13" s="104" t="e">
        <f>ROUND('[1]表6资金使用成效（预算执行率）原稿'!I42,2)</f>
        <v>#REF!</v>
      </c>
      <c r="J13" s="104" t="e">
        <f>ROUND('[1]表6资金使用成效（预算执行率）原稿'!J42,2)</f>
        <v>#REF!</v>
      </c>
      <c r="K13" s="104" t="e">
        <f>ROUND('[1]表6资金使用成效（预算执行率）原稿'!K42,2)</f>
        <v>#REF!</v>
      </c>
      <c r="L13" s="98" t="e">
        <f t="shared" si="471"/>
        <v>#REF!</v>
      </c>
    </row>
    <row r="14" ht="14.25">
      <c r="A14" s="103" t="s">
        <v>256</v>
      </c>
      <c r="B14" s="103" t="s">
        <v>186</v>
      </c>
      <c r="C14" s="104" t="e">
        <f>ROUND('[1]表6资金使用成效（预算执行率）原稿'!C43,2)</f>
        <v>#REF!</v>
      </c>
      <c r="D14" s="104" t="e">
        <f>ROUND('[1]表6资金使用成效（预算执行率）原稿'!D43,2)</f>
        <v>#REF!</v>
      </c>
      <c r="E14" s="104" t="e">
        <f>ROUND('[1]表6资金使用成效（预算执行率）原稿'!E43,2)</f>
        <v>#REF!</v>
      </c>
      <c r="F14" s="104" t="e">
        <f>ROUND('[1]表6资金使用成效（预算执行率）原稿'!F43,2)</f>
        <v>#REF!</v>
      </c>
      <c r="G14" s="104" t="e">
        <f>ROUND('[1]表6资金使用成效（预算执行率）原稿'!G43,2)</f>
        <v>#REF!</v>
      </c>
      <c r="H14" s="104" t="e">
        <f>ROUND('[1]表6资金使用成效（预算执行率）原稿'!H43,2)</f>
        <v>#REF!</v>
      </c>
      <c r="I14" s="104" t="e">
        <f>ROUND('[1]表6资金使用成效（预算执行率）原稿'!I43,2)</f>
        <v>#REF!</v>
      </c>
      <c r="J14" s="104" t="e">
        <f>ROUND('[1]表6资金使用成效（预算执行率）原稿'!J43,2)</f>
        <v>#REF!</v>
      </c>
      <c r="K14" s="104" t="e">
        <f>ROUND('[1]表6资金使用成效（预算执行率）原稿'!K43,2)</f>
        <v>#REF!</v>
      </c>
      <c r="L14" s="98" t="e">
        <f t="shared" si="471"/>
        <v>#REF!</v>
      </c>
    </row>
    <row r="15" ht="14.25">
      <c r="A15" s="103" t="s">
        <v>257</v>
      </c>
      <c r="B15" s="103" t="s">
        <v>102</v>
      </c>
      <c r="C15" s="104" t="e">
        <f>ROUND('[1]表6资金使用成效（预算执行率）原稿'!C44,2)</f>
        <v>#REF!</v>
      </c>
      <c r="D15" s="104" t="e">
        <f>ROUND('[1]表6资金使用成效（预算执行率）原稿'!D44,2)</f>
        <v>#REF!</v>
      </c>
      <c r="E15" s="104" t="e">
        <f>ROUND('[1]表6资金使用成效（预算执行率）原稿'!E44,2)</f>
        <v>#REF!</v>
      </c>
      <c r="F15" s="104" t="e">
        <f>ROUND('[1]表6资金使用成效（预算执行率）原稿'!F44,2)</f>
        <v>#REF!</v>
      </c>
      <c r="G15" s="104" t="e">
        <f>ROUND('[1]表6资金使用成效（预算执行率）原稿'!G44,2)</f>
        <v>#REF!</v>
      </c>
      <c r="H15" s="104" t="e">
        <f>ROUND('[1]表6资金使用成效（预算执行率）原稿'!H44,2)</f>
        <v>#REF!</v>
      </c>
      <c r="I15" s="104" t="e">
        <f>ROUND('[1]表6资金使用成效（预算执行率）原稿'!I44,2)</f>
        <v>#REF!</v>
      </c>
      <c r="J15" s="104" t="e">
        <f>ROUND('[1]表6资金使用成效（预算执行率）原稿'!J44,2)</f>
        <v>#REF!</v>
      </c>
      <c r="K15" s="104" t="e">
        <f>ROUND('[1]表6资金使用成效（预算执行率）原稿'!K44,2)</f>
        <v>#REF!</v>
      </c>
      <c r="L15" s="98" t="e">
        <f t="shared" si="471"/>
        <v>#REF!</v>
      </c>
    </row>
    <row r="16" ht="14.25">
      <c r="A16" s="103" t="s">
        <v>258</v>
      </c>
      <c r="B16" s="103" t="s">
        <v>187</v>
      </c>
      <c r="C16" s="104" t="e">
        <f>ROUND('[1]表6资金使用成效（预算执行率）原稿'!C45,2)</f>
        <v>#REF!</v>
      </c>
      <c r="D16" s="104" t="e">
        <f>ROUND('[1]表6资金使用成效（预算执行率）原稿'!D45,2)</f>
        <v>#REF!</v>
      </c>
      <c r="E16" s="104" t="e">
        <f>ROUND('[1]表6资金使用成效（预算执行率）原稿'!E45,2)</f>
        <v>#REF!</v>
      </c>
      <c r="F16" s="104" t="e">
        <f>ROUND('[1]表6资金使用成效（预算执行率）原稿'!F45,2)</f>
        <v>#REF!</v>
      </c>
      <c r="G16" s="104" t="e">
        <f>ROUND('[1]表6资金使用成效（预算执行率）原稿'!G45,2)</f>
        <v>#REF!</v>
      </c>
      <c r="H16" s="104" t="e">
        <f>ROUND('[1]表6资金使用成效（预算执行率）原稿'!H45,2)</f>
        <v>#REF!</v>
      </c>
      <c r="I16" s="104" t="e">
        <f>ROUND('[1]表6资金使用成效（预算执行率）原稿'!I45,2)</f>
        <v>#REF!</v>
      </c>
      <c r="J16" s="104" t="e">
        <f>ROUND('[1]表6资金使用成效（预算执行率）原稿'!J45,2)</f>
        <v>#REF!</v>
      </c>
      <c r="K16" s="104" t="e">
        <f>ROUND('[1]表6资金使用成效（预算执行率）原稿'!K45,2)</f>
        <v>#REF!</v>
      </c>
      <c r="L16" s="98" t="e">
        <f t="shared" si="471"/>
        <v>#REF!</v>
      </c>
    </row>
    <row r="17" ht="14.25">
      <c r="A17" s="103" t="s">
        <v>259</v>
      </c>
      <c r="B17" s="103" t="s">
        <v>188</v>
      </c>
      <c r="C17" s="104" t="e">
        <f>ROUND('[1]表6资金使用成效（预算执行率）原稿'!C46,2)</f>
        <v>#REF!</v>
      </c>
      <c r="D17" s="104" t="e">
        <f>ROUND('[1]表6资金使用成效（预算执行率）原稿'!D46,2)</f>
        <v>#REF!</v>
      </c>
      <c r="E17" s="104" t="e">
        <f>ROUND('[1]表6资金使用成效（预算执行率）原稿'!E46,2)</f>
        <v>#REF!</v>
      </c>
      <c r="F17" s="104" t="e">
        <f>ROUND('[1]表6资金使用成效（预算执行率）原稿'!F46,2)</f>
        <v>#REF!</v>
      </c>
      <c r="G17" s="104" t="e">
        <f>ROUND('[1]表6资金使用成效（预算执行率）原稿'!G46,2)</f>
        <v>#REF!</v>
      </c>
      <c r="H17" s="104" t="e">
        <f>ROUND('[1]表6资金使用成效（预算执行率）原稿'!H46,2)</f>
        <v>#REF!</v>
      </c>
      <c r="I17" s="104" t="e">
        <f>ROUND('[1]表6资金使用成效（预算执行率）原稿'!I46,2)</f>
        <v>#REF!</v>
      </c>
      <c r="J17" s="104" t="e">
        <f>ROUND('[1]表6资金使用成效（预算执行率）原稿'!J46,2)</f>
        <v>#REF!</v>
      </c>
      <c r="K17" s="104" t="e">
        <f>ROUND('[1]表6资金使用成效（预算执行率）原稿'!K46,2)</f>
        <v>#REF!</v>
      </c>
      <c r="L17" s="98" t="e">
        <f t="shared" si="471"/>
        <v>#REF!</v>
      </c>
    </row>
    <row r="18" ht="14.25">
      <c r="A18" s="103" t="s">
        <v>260</v>
      </c>
      <c r="B18" s="103" t="s">
        <v>189</v>
      </c>
      <c r="C18" s="104" t="e">
        <f>ROUND('[1]表6资金使用成效（预算执行率）原稿'!C47,2)</f>
        <v>#REF!</v>
      </c>
      <c r="D18" s="104" t="e">
        <f>ROUND('[1]表6资金使用成效（预算执行率）原稿'!D47,2)</f>
        <v>#REF!</v>
      </c>
      <c r="E18" s="104" t="e">
        <f>ROUND('[1]表6资金使用成效（预算执行率）原稿'!E47,2)</f>
        <v>#REF!</v>
      </c>
      <c r="F18" s="104" t="e">
        <f>ROUND('[1]表6资金使用成效（预算执行率）原稿'!F47,2)</f>
        <v>#REF!</v>
      </c>
      <c r="G18" s="104" t="e">
        <f>ROUND('[1]表6资金使用成效（预算执行率）原稿'!G47,2)</f>
        <v>#REF!</v>
      </c>
      <c r="H18" s="104" t="e">
        <f>ROUND('[1]表6资金使用成效（预算执行率）原稿'!H47,2)</f>
        <v>#REF!</v>
      </c>
      <c r="I18" s="104" t="e">
        <f>ROUND('[1]表6资金使用成效（预算执行率）原稿'!I47,2)</f>
        <v>#REF!</v>
      </c>
      <c r="J18" s="104" t="e">
        <f>ROUND('[1]表6资金使用成效（预算执行率）原稿'!J47,2)</f>
        <v>#REF!</v>
      </c>
      <c r="K18" s="104" t="e">
        <f>ROUND('[1]表6资金使用成效（预算执行率）原稿'!K47,2)</f>
        <v>#REF!</v>
      </c>
      <c r="L18" s="98" t="e">
        <f t="shared" si="471"/>
        <v>#REF!</v>
      </c>
    </row>
    <row r="19" ht="14.25">
      <c r="A19" s="103" t="s">
        <v>261</v>
      </c>
      <c r="B19" s="103" t="s">
        <v>199</v>
      </c>
      <c r="C19" s="104" t="e">
        <f>ROUND('[1]表6资金使用成效（预算执行率）原稿'!C48,2)</f>
        <v>#REF!</v>
      </c>
      <c r="D19" s="104" t="e">
        <f>ROUND('[1]表6资金使用成效（预算执行率）原稿'!D48,2)</f>
        <v>#REF!</v>
      </c>
      <c r="E19" s="104" t="e">
        <f>ROUND('[1]表6资金使用成效（预算执行率）原稿'!E48,2)</f>
        <v>#REF!</v>
      </c>
      <c r="F19" s="104" t="e">
        <f>ROUND('[1]表6资金使用成效（预算执行率）原稿'!F48,2)</f>
        <v>#REF!</v>
      </c>
      <c r="G19" s="104" t="e">
        <f>ROUND('[1]表6资金使用成效（预算执行率）原稿'!G48,2)</f>
        <v>#REF!</v>
      </c>
      <c r="H19" s="104" t="e">
        <f>ROUND('[1]表6资金使用成效（预算执行率）原稿'!H48,2)</f>
        <v>#REF!</v>
      </c>
      <c r="I19" s="104" t="e">
        <f>ROUND('[1]表6资金使用成效（预算执行率）原稿'!I48,2)</f>
        <v>#REF!</v>
      </c>
      <c r="J19" s="104" t="e">
        <f>ROUND('[1]表6资金使用成效（预算执行率）原稿'!J48,2)</f>
        <v>#REF!</v>
      </c>
      <c r="K19" s="104" t="e">
        <f>ROUND('[1]表6资金使用成效（预算执行率）原稿'!K48,2)</f>
        <v>#REF!</v>
      </c>
      <c r="L19" s="98" t="e">
        <f t="shared" si="471"/>
        <v>#REF!</v>
      </c>
    </row>
    <row r="20" ht="14.25">
      <c r="A20" s="103" t="s">
        <v>262</v>
      </c>
      <c r="B20" s="103" t="s">
        <v>200</v>
      </c>
      <c r="C20" s="104" t="e">
        <f>ROUND('[1]表6资金使用成效（预算执行率）原稿'!C49,2)</f>
        <v>#REF!</v>
      </c>
      <c r="D20" s="104" t="e">
        <f>ROUND('[1]表6资金使用成效（预算执行率）原稿'!D49,2)</f>
        <v>#REF!</v>
      </c>
      <c r="E20" s="104" t="e">
        <f>ROUND('[1]表6资金使用成效（预算执行率）原稿'!E49,2)</f>
        <v>#REF!</v>
      </c>
      <c r="F20" s="104" t="e">
        <f>ROUND('[1]表6资金使用成效（预算执行率）原稿'!F49,2)</f>
        <v>#REF!</v>
      </c>
      <c r="G20" s="104" t="e">
        <f>ROUND('[1]表6资金使用成效（预算执行率）原稿'!G49,2)</f>
        <v>#REF!</v>
      </c>
      <c r="H20" s="104" t="e">
        <f>ROUND('[1]表6资金使用成效（预算执行率）原稿'!H49,2)</f>
        <v>#REF!</v>
      </c>
      <c r="I20" s="104" t="e">
        <f>ROUND('[1]表6资金使用成效（预算执行率）原稿'!I49,2)</f>
        <v>#REF!</v>
      </c>
      <c r="J20" s="104" t="e">
        <f>ROUND('[1]表6资金使用成效（预算执行率）原稿'!J49,2)</f>
        <v>#REF!</v>
      </c>
      <c r="K20" s="104" t="e">
        <f>ROUND('[1]表6资金使用成效（预算执行率）原稿'!K49,2)</f>
        <v>#REF!</v>
      </c>
      <c r="L20" s="98" t="e">
        <f t="shared" si="471"/>
        <v>#REF!</v>
      </c>
    </row>
    <row r="21" ht="14.25">
      <c r="A21" s="103" t="s">
        <v>263</v>
      </c>
      <c r="B21" s="103" t="s">
        <v>201</v>
      </c>
      <c r="C21" s="104" t="e">
        <f>ROUND('[1]表6资金使用成效（预算执行率）原稿'!C50,2)</f>
        <v>#REF!</v>
      </c>
      <c r="D21" s="104" t="e">
        <f>ROUND('[1]表6资金使用成效（预算执行率）原稿'!D50,2)</f>
        <v>#REF!</v>
      </c>
      <c r="E21" s="104" t="e">
        <f>ROUND('[1]表6资金使用成效（预算执行率）原稿'!E50,2)</f>
        <v>#REF!</v>
      </c>
      <c r="F21" s="104" t="e">
        <f>ROUND('[1]表6资金使用成效（预算执行率）原稿'!F50,2)</f>
        <v>#REF!</v>
      </c>
      <c r="G21" s="104" t="e">
        <f>ROUND('[1]表6资金使用成效（预算执行率）原稿'!G50,2)</f>
        <v>#REF!</v>
      </c>
      <c r="H21" s="104" t="e">
        <f>ROUND('[1]表6资金使用成效（预算执行率）原稿'!H50,2)</f>
        <v>#REF!</v>
      </c>
      <c r="I21" s="104" t="e">
        <f>ROUND('[1]表6资金使用成效（预算执行率）原稿'!I50,2)</f>
        <v>#REF!</v>
      </c>
      <c r="J21" s="104" t="e">
        <f>ROUND('[1]表6资金使用成效（预算执行率）原稿'!J50,2)</f>
        <v>#REF!</v>
      </c>
      <c r="K21" s="104" t="e">
        <f>ROUND('[1]表6资金使用成效（预算执行率）原稿'!K50,2)</f>
        <v>#REF!</v>
      </c>
      <c r="L21" s="98" t="e">
        <f t="shared" si="471"/>
        <v>#REF!</v>
      </c>
    </row>
    <row r="22" ht="14.25">
      <c r="A22" s="103" t="s">
        <v>264</v>
      </c>
      <c r="B22" s="103" t="s">
        <v>202</v>
      </c>
      <c r="C22" s="104" t="e">
        <f>ROUND('[1]表6资金使用成效（预算执行率）原稿'!C51,2)</f>
        <v>#REF!</v>
      </c>
      <c r="D22" s="104" t="e">
        <f>ROUND('[1]表6资金使用成效（预算执行率）原稿'!D51,2)</f>
        <v>#REF!</v>
      </c>
      <c r="E22" s="104" t="e">
        <f>ROUND('[1]表6资金使用成效（预算执行率）原稿'!E51,2)</f>
        <v>#REF!</v>
      </c>
      <c r="F22" s="104" t="e">
        <f>ROUND('[1]表6资金使用成效（预算执行率）原稿'!F51,2)</f>
        <v>#REF!</v>
      </c>
      <c r="G22" s="104" t="e">
        <f>ROUND('[1]表6资金使用成效（预算执行率）原稿'!G51,2)</f>
        <v>#REF!</v>
      </c>
      <c r="H22" s="104" t="e">
        <f>ROUND('[1]表6资金使用成效（预算执行率）原稿'!H51,2)</f>
        <v>#REF!</v>
      </c>
      <c r="I22" s="104" t="e">
        <f>ROUND('[1]表6资金使用成效（预算执行率）原稿'!I51,2)</f>
        <v>#REF!</v>
      </c>
      <c r="J22" s="104" t="e">
        <f>ROUND('[1]表6资金使用成效（预算执行率）原稿'!J51,2)</f>
        <v>#REF!</v>
      </c>
      <c r="K22" s="104" t="e">
        <f>ROUND('[1]表6资金使用成效（预算执行率）原稿'!K51,2)</f>
        <v>#REF!</v>
      </c>
      <c r="L22" s="98" t="e">
        <f t="shared" si="471"/>
        <v>#REF!</v>
      </c>
    </row>
    <row r="23" ht="14.25">
      <c r="A23" s="103" t="s">
        <v>265</v>
      </c>
      <c r="B23" s="103" t="s">
        <v>203</v>
      </c>
      <c r="C23" s="104" t="e">
        <f>ROUND('[1]表6资金使用成效（预算执行率）原稿'!C52,2)</f>
        <v>#REF!</v>
      </c>
      <c r="D23" s="104" t="e">
        <f>ROUND('[1]表6资金使用成效（预算执行率）原稿'!D52,2)</f>
        <v>#REF!</v>
      </c>
      <c r="E23" s="104" t="e">
        <f>ROUND('[1]表6资金使用成效（预算执行率）原稿'!E52,2)</f>
        <v>#REF!</v>
      </c>
      <c r="F23" s="104" t="e">
        <f>ROUND('[1]表6资金使用成效（预算执行率）原稿'!F52,2)</f>
        <v>#REF!</v>
      </c>
      <c r="G23" s="104" t="e">
        <f>ROUND('[1]表6资金使用成效（预算执行率）原稿'!G52,2)</f>
        <v>#REF!</v>
      </c>
      <c r="H23" s="104" t="e">
        <f>ROUND('[1]表6资金使用成效（预算执行率）原稿'!H52,2)</f>
        <v>#REF!</v>
      </c>
      <c r="I23" s="104" t="e">
        <f>ROUND('[1]表6资金使用成效（预算执行率）原稿'!I52,2)</f>
        <v>#REF!</v>
      </c>
      <c r="J23" s="104" t="e">
        <f>ROUND('[1]表6资金使用成效（预算执行率）原稿'!J52,2)</f>
        <v>#REF!</v>
      </c>
      <c r="K23" s="104" t="e">
        <f>ROUND('[1]表6资金使用成效（预算执行率）原稿'!K52,2)</f>
        <v>#REF!</v>
      </c>
      <c r="L23" s="98" t="e">
        <f t="shared" si="471"/>
        <v>#REF!</v>
      </c>
    </row>
    <row r="24" ht="14.25">
      <c r="A24" s="103" t="s">
        <v>266</v>
      </c>
      <c r="B24" s="103" t="s">
        <v>213</v>
      </c>
      <c r="C24" s="104" t="e">
        <f>ROUND('[1]表6资金使用成效（预算执行率）原稿'!C53,2)</f>
        <v>#REF!</v>
      </c>
      <c r="D24" s="104" t="e">
        <f>ROUND('[1]表6资金使用成效（预算执行率）原稿'!D53,2)</f>
        <v>#REF!</v>
      </c>
      <c r="E24" s="104" t="e">
        <f>ROUND('[1]表6资金使用成效（预算执行率）原稿'!E53,2)</f>
        <v>#REF!</v>
      </c>
      <c r="F24" s="104" t="e">
        <f>ROUND('[1]表6资金使用成效（预算执行率）原稿'!F53,2)</f>
        <v>#REF!</v>
      </c>
      <c r="G24" s="104" t="e">
        <f>ROUND('[1]表6资金使用成效（预算执行率）原稿'!G53,2)</f>
        <v>#REF!</v>
      </c>
      <c r="H24" s="104" t="e">
        <f>ROUND('[1]表6资金使用成效（预算执行率）原稿'!H53,2)</f>
        <v>#REF!</v>
      </c>
      <c r="I24" s="104" t="e">
        <f>ROUND('[1]表6资金使用成效（预算执行率）原稿'!I53,2)</f>
        <v>#REF!</v>
      </c>
      <c r="J24" s="104" t="e">
        <f>ROUND('[1]表6资金使用成效（预算执行率）原稿'!J53,2)</f>
        <v>#REF!</v>
      </c>
      <c r="K24" s="104" t="e">
        <f>ROUND('[1]表6资金使用成效（预算执行率）原稿'!K53,2)</f>
        <v>#REF!</v>
      </c>
      <c r="L24" s="98" t="e">
        <f t="shared" si="471"/>
        <v>#REF!</v>
      </c>
    </row>
    <row r="25" ht="14.25">
      <c r="A25" s="103" t="s">
        <v>267</v>
      </c>
      <c r="B25" s="103" t="s">
        <v>214</v>
      </c>
      <c r="C25" s="104" t="e">
        <f>ROUND('[1]表6资金使用成效（预算执行率）原稿'!C54,2)</f>
        <v>#REF!</v>
      </c>
      <c r="D25" s="104" t="e">
        <f>ROUND('[1]表6资金使用成效（预算执行率）原稿'!D54,2)</f>
        <v>#REF!</v>
      </c>
      <c r="E25" s="104" t="e">
        <f>ROUND('[1]表6资金使用成效（预算执行率）原稿'!E54,2)</f>
        <v>#REF!</v>
      </c>
      <c r="F25" s="104" t="e">
        <f>ROUND('[1]表6资金使用成效（预算执行率）原稿'!F54,2)</f>
        <v>#REF!</v>
      </c>
      <c r="G25" s="104" t="e">
        <f>ROUND('[1]表6资金使用成效（预算执行率）原稿'!G54,2)</f>
        <v>#REF!</v>
      </c>
      <c r="H25" s="104" t="e">
        <f>ROUND('[1]表6资金使用成效（预算执行率）原稿'!H54,2)</f>
        <v>#REF!</v>
      </c>
      <c r="I25" s="104" t="e">
        <f>ROUND('[1]表6资金使用成效（预算执行率）原稿'!I54,2)</f>
        <v>#REF!</v>
      </c>
      <c r="J25" s="104" t="e">
        <f>ROUND('[1]表6资金使用成效（预算执行率）原稿'!J54,2)</f>
        <v>#REF!</v>
      </c>
      <c r="K25" s="104" t="e">
        <f>ROUND('[1]表6资金使用成效（预算执行率）原稿'!K54,2)</f>
        <v>#REF!</v>
      </c>
      <c r="L25" s="98" t="e">
        <f t="shared" si="471"/>
        <v>#REF!</v>
      </c>
    </row>
    <row r="26" ht="14.25">
      <c r="A26" s="103" t="s">
        <v>268</v>
      </c>
      <c r="B26" s="103" t="s">
        <v>103</v>
      </c>
      <c r="C26" s="104" t="e">
        <f>ROUND('[1]表6资金使用成效（预算执行率）原稿'!C55,2)</f>
        <v>#REF!</v>
      </c>
      <c r="D26" s="104" t="e">
        <f>ROUND('[1]表6资金使用成效（预算执行率）原稿'!D55,2)</f>
        <v>#REF!</v>
      </c>
      <c r="E26" s="104" t="e">
        <f>ROUND('[1]表6资金使用成效（预算执行率）原稿'!E55,2)</f>
        <v>#REF!</v>
      </c>
      <c r="F26" s="104" t="e">
        <f>ROUND('[1]表6资金使用成效（预算执行率）原稿'!F55,2)</f>
        <v>#REF!</v>
      </c>
      <c r="G26" s="104" t="e">
        <f>ROUND('[1]表6资金使用成效（预算执行率）原稿'!G55,2)</f>
        <v>#REF!</v>
      </c>
      <c r="H26" s="104" t="e">
        <f>ROUND('[1]表6资金使用成效（预算执行率）原稿'!H55,2)</f>
        <v>#REF!</v>
      </c>
      <c r="I26" s="104" t="e">
        <f>ROUND('[1]表6资金使用成效（预算执行率）原稿'!I55,2)</f>
        <v>#REF!</v>
      </c>
      <c r="J26" s="104" t="e">
        <f>ROUND('[1]表6资金使用成效（预算执行率）原稿'!J55,2)</f>
        <v>#REF!</v>
      </c>
      <c r="K26" s="104" t="e">
        <f>ROUND('[1]表6资金使用成效（预算执行率）原稿'!K55,2)</f>
        <v>#REF!</v>
      </c>
      <c r="L26" s="98" t="e">
        <f t="shared" si="471"/>
        <v>#REF!</v>
      </c>
    </row>
    <row r="27" ht="14.25">
      <c r="A27" s="103" t="s">
        <v>269</v>
      </c>
      <c r="B27" s="103" t="s">
        <v>215</v>
      </c>
      <c r="C27" s="104" t="e">
        <f>ROUND('[1]表6资金使用成效（预算执行率）原稿'!C56,2)</f>
        <v>#REF!</v>
      </c>
      <c r="D27" s="104" t="e">
        <f>ROUND('[1]表6资金使用成效（预算执行率）原稿'!D56,2)</f>
        <v>#REF!</v>
      </c>
      <c r="E27" s="104" t="e">
        <f>ROUND('[1]表6资金使用成效（预算执行率）原稿'!E56,2)</f>
        <v>#REF!</v>
      </c>
      <c r="F27" s="104" t="e">
        <f>ROUND('[1]表6资金使用成效（预算执行率）原稿'!F56,2)</f>
        <v>#REF!</v>
      </c>
      <c r="G27" s="104" t="e">
        <f>ROUND('[1]表6资金使用成效（预算执行率）原稿'!G56,2)</f>
        <v>#REF!</v>
      </c>
      <c r="H27" s="104" t="e">
        <f>ROUND('[1]表6资金使用成效（预算执行率）原稿'!H56,2)</f>
        <v>#REF!</v>
      </c>
      <c r="I27" s="104" t="e">
        <f>ROUND('[1]表6资金使用成效（预算执行率）原稿'!I56,2)</f>
        <v>#REF!</v>
      </c>
      <c r="J27" s="104" t="e">
        <f>ROUND('[1]表6资金使用成效（预算执行率）原稿'!J56,2)</f>
        <v>#REF!</v>
      </c>
      <c r="K27" s="104" t="e">
        <f>ROUND('[1]表6资金使用成效（预算执行率）原稿'!K56,2)</f>
        <v>#REF!</v>
      </c>
      <c r="L27" s="98" t="e">
        <f t="shared" si="471"/>
        <v>#REF!</v>
      </c>
    </row>
    <row r="28" ht="14.25">
      <c r="A28" s="103" t="s">
        <v>270</v>
      </c>
      <c r="B28" s="103" t="s">
        <v>216</v>
      </c>
      <c r="C28" s="104" t="e">
        <f>ROUND('[1]表6资金使用成效（预算执行率）原稿'!C57,2)</f>
        <v>#REF!</v>
      </c>
      <c r="D28" s="104" t="e">
        <f>ROUND('[1]表6资金使用成效（预算执行率）原稿'!D57,2)</f>
        <v>#REF!</v>
      </c>
      <c r="E28" s="104" t="e">
        <f>ROUND('[1]表6资金使用成效（预算执行率）原稿'!E57,2)</f>
        <v>#REF!</v>
      </c>
      <c r="F28" s="104" t="e">
        <f>ROUND('[1]表6资金使用成效（预算执行率）原稿'!F57,2)</f>
        <v>#REF!</v>
      </c>
      <c r="G28" s="104" t="e">
        <f>ROUND('[1]表6资金使用成效（预算执行率）原稿'!G57,2)</f>
        <v>#REF!</v>
      </c>
      <c r="H28" s="104" t="e">
        <f>ROUND('[1]表6资金使用成效（预算执行率）原稿'!H57,2)</f>
        <v>#REF!</v>
      </c>
      <c r="I28" s="104" t="e">
        <f>ROUND('[1]表6资金使用成效（预算执行率）原稿'!I57,2)</f>
        <v>#REF!</v>
      </c>
      <c r="J28" s="104" t="e">
        <f>ROUND('[1]表6资金使用成效（预算执行率）原稿'!J57,2)</f>
        <v>#REF!</v>
      </c>
      <c r="K28" s="104" t="e">
        <f>ROUND('[1]表6资金使用成效（预算执行率）原稿'!K57,2)</f>
        <v>#REF!</v>
      </c>
      <c r="L28" s="98" t="e">
        <f t="shared" si="471"/>
        <v>#REF!</v>
      </c>
    </row>
    <row r="29" ht="14.25">
      <c r="A29" s="103" t="s">
        <v>271</v>
      </c>
      <c r="B29" s="103" t="s">
        <v>219</v>
      </c>
      <c r="C29" s="104" t="e">
        <f>ROUND('[1]表6资金使用成效（预算执行率）原稿'!C58,2)</f>
        <v>#REF!</v>
      </c>
      <c r="D29" s="104" t="e">
        <f>ROUND('[1]表6资金使用成效（预算执行率）原稿'!D58,2)</f>
        <v>#REF!</v>
      </c>
      <c r="E29" s="104" t="e">
        <f>ROUND('[1]表6资金使用成效（预算执行率）原稿'!E58,2)</f>
        <v>#REF!</v>
      </c>
      <c r="F29" s="104" t="e">
        <f>ROUND('[1]表6资金使用成效（预算执行率）原稿'!F58,2)</f>
        <v>#REF!</v>
      </c>
      <c r="G29" s="104" t="e">
        <f>ROUND('[1]表6资金使用成效（预算执行率）原稿'!G58,2)</f>
        <v>#REF!</v>
      </c>
      <c r="H29" s="104" t="e">
        <f>ROUND('[1]表6资金使用成效（预算执行率）原稿'!H58,2)</f>
        <v>#REF!</v>
      </c>
      <c r="I29" s="104" t="e">
        <f>ROUND('[1]表6资金使用成效（预算执行率）原稿'!I58,2)</f>
        <v>#REF!</v>
      </c>
      <c r="J29" s="104" t="e">
        <f>ROUND('[1]表6资金使用成效（预算执行率）原稿'!J58,2)</f>
        <v>#REF!</v>
      </c>
      <c r="K29" s="104" t="e">
        <f>ROUND('[1]表6资金使用成效（预算执行率）原稿'!K58,2)</f>
        <v>#REF!</v>
      </c>
      <c r="L29" s="98" t="e">
        <f t="shared" si="471"/>
        <v>#REF!</v>
      </c>
    </row>
    <row r="30" ht="14.25">
      <c r="A30" s="103" t="s">
        <v>272</v>
      </c>
      <c r="B30" s="103" t="s">
        <v>220</v>
      </c>
      <c r="C30" s="104" t="e">
        <f>ROUND('[1]表6资金使用成效（预算执行率）原稿'!C59,2)</f>
        <v>#REF!</v>
      </c>
      <c r="D30" s="104" t="e">
        <f>ROUND('[1]表6资金使用成效（预算执行率）原稿'!D59,2)</f>
        <v>#REF!</v>
      </c>
      <c r="E30" s="104" t="e">
        <f>ROUND('[1]表6资金使用成效（预算执行率）原稿'!E59,2)</f>
        <v>#REF!</v>
      </c>
      <c r="F30" s="104" t="e">
        <f>ROUND('[1]表6资金使用成效（预算执行率）原稿'!F59,2)</f>
        <v>#REF!</v>
      </c>
      <c r="G30" s="104" t="e">
        <f>ROUND('[1]表6资金使用成效（预算执行率）原稿'!G59,2)</f>
        <v>#REF!</v>
      </c>
      <c r="H30" s="104" t="e">
        <f>ROUND('[1]表6资金使用成效（预算执行率）原稿'!H59,2)</f>
        <v>#REF!</v>
      </c>
      <c r="I30" s="104" t="e">
        <f>ROUND('[1]表6资金使用成效（预算执行率）原稿'!I59,2)</f>
        <v>#REF!</v>
      </c>
      <c r="J30" s="104" t="e">
        <f>ROUND('[1]表6资金使用成效（预算执行率）原稿'!J59,2)</f>
        <v>#REF!</v>
      </c>
      <c r="K30" s="104" t="e">
        <f>ROUND('[1]表6资金使用成效（预算执行率）原稿'!K59,2)</f>
        <v>#REF!</v>
      </c>
      <c r="L30" s="98" t="e">
        <f t="shared" si="471"/>
        <v>#REF!</v>
      </c>
    </row>
    <row r="31" ht="14.25">
      <c r="A31" s="103" t="s">
        <v>273</v>
      </c>
      <c r="B31" s="103" t="s">
        <v>221</v>
      </c>
      <c r="C31" s="104" t="e">
        <f>ROUND('[1]表6资金使用成效（预算执行率）原稿'!C60,2)</f>
        <v>#REF!</v>
      </c>
      <c r="D31" s="104" t="e">
        <f>ROUND('[1]表6资金使用成效（预算执行率）原稿'!D60,2)</f>
        <v>#REF!</v>
      </c>
      <c r="E31" s="104" t="e">
        <f>ROUND('[1]表6资金使用成效（预算执行率）原稿'!E60,2)</f>
        <v>#REF!</v>
      </c>
      <c r="F31" s="104" t="e">
        <f>ROUND('[1]表6资金使用成效（预算执行率）原稿'!F60,2)</f>
        <v>#REF!</v>
      </c>
      <c r="G31" s="104" t="e">
        <f>ROUND('[1]表6资金使用成效（预算执行率）原稿'!G60,2)</f>
        <v>#REF!</v>
      </c>
      <c r="H31" s="104" t="e">
        <f>ROUND('[1]表6资金使用成效（预算执行率）原稿'!H60,2)</f>
        <v>#REF!</v>
      </c>
      <c r="I31" s="104" t="e">
        <f>ROUND('[1]表6资金使用成效（预算执行率）原稿'!I60,2)</f>
        <v>#REF!</v>
      </c>
      <c r="J31" s="104" t="e">
        <f>ROUND('[1]表6资金使用成效（预算执行率）原稿'!J60,2)</f>
        <v>#REF!</v>
      </c>
      <c r="K31" s="104" t="e">
        <f>ROUND('[1]表6资金使用成效（预算执行率）原稿'!K60,2)</f>
        <v>#REF!</v>
      </c>
      <c r="L31" s="98" t="e">
        <f t="shared" si="471"/>
        <v>#REF!</v>
      </c>
    </row>
    <row r="32" ht="14.25">
      <c r="A32" s="103" t="s">
        <v>274</v>
      </c>
      <c r="B32" s="103" t="s">
        <v>104</v>
      </c>
      <c r="C32" s="104" t="e">
        <f>ROUND('[1]表6资金使用成效（预算执行率）原稿'!C61,2)</f>
        <v>#REF!</v>
      </c>
      <c r="D32" s="104" t="e">
        <f>ROUND('[1]表6资金使用成效（预算执行率）原稿'!D61,2)</f>
        <v>#REF!</v>
      </c>
      <c r="E32" s="104" t="e">
        <f>ROUND('[1]表6资金使用成效（预算执行率）原稿'!E61,2)</f>
        <v>#REF!</v>
      </c>
      <c r="F32" s="104" t="e">
        <f>ROUND('[1]表6资金使用成效（预算执行率）原稿'!F61,2)</f>
        <v>#REF!</v>
      </c>
      <c r="G32" s="104" t="e">
        <f>ROUND('[1]表6资金使用成效（预算执行率）原稿'!G61,2)</f>
        <v>#REF!</v>
      </c>
      <c r="H32" s="104" t="e">
        <f>ROUND('[1]表6资金使用成效（预算执行率）原稿'!H61,2)</f>
        <v>#REF!</v>
      </c>
      <c r="I32" s="104" t="e">
        <f>ROUND('[1]表6资金使用成效（预算执行率）原稿'!I61,2)</f>
        <v>#REF!</v>
      </c>
      <c r="J32" s="104" t="e">
        <f>ROUND('[1]表6资金使用成效（预算执行率）原稿'!J61,2)</f>
        <v>#REF!</v>
      </c>
      <c r="K32" s="104" t="e">
        <f>ROUND('[1]表6资金使用成效（预算执行率）原稿'!K61,2)</f>
        <v>#REF!</v>
      </c>
      <c r="L32" s="98" t="e">
        <f t="shared" si="471"/>
        <v>#REF!</v>
      </c>
    </row>
    <row r="33" ht="14.25">
      <c r="A33" s="103" t="s">
        <v>275</v>
      </c>
      <c r="B33" s="103" t="s">
        <v>105</v>
      </c>
      <c r="C33" s="104" t="e">
        <f>ROUND('[1]表6资金使用成效（预算执行率）原稿'!C62,2)</f>
        <v>#REF!</v>
      </c>
      <c r="D33" s="104" t="e">
        <f>ROUND('[1]表6资金使用成效（预算执行率）原稿'!D62,2)</f>
        <v>#REF!</v>
      </c>
      <c r="E33" s="104" t="e">
        <f>ROUND('[1]表6资金使用成效（预算执行率）原稿'!E62,2)</f>
        <v>#REF!</v>
      </c>
      <c r="F33" s="104" t="e">
        <f>ROUND('[1]表6资金使用成效（预算执行率）原稿'!F62,2)</f>
        <v>#REF!</v>
      </c>
      <c r="G33" s="104" t="e">
        <f>ROUND('[1]表6资金使用成效（预算执行率）原稿'!G62,2)</f>
        <v>#REF!</v>
      </c>
      <c r="H33" s="104" t="e">
        <f>ROUND('[1]表6资金使用成效（预算执行率）原稿'!H62,2)</f>
        <v>#REF!</v>
      </c>
      <c r="I33" s="104" t="e">
        <f>ROUND('[1]表6资金使用成效（预算执行率）原稿'!I62,2)</f>
        <v>#REF!</v>
      </c>
      <c r="J33" s="104" t="e">
        <f>ROUND('[1]表6资金使用成效（预算执行率）原稿'!J62,2)</f>
        <v>#REF!</v>
      </c>
      <c r="K33" s="104" t="e">
        <f>ROUND('[1]表6资金使用成效（预算执行率）原稿'!K62,2)</f>
        <v>#REF!</v>
      </c>
      <c r="L33" s="98" t="e">
        <f t="shared" si="471"/>
        <v>#REF!</v>
      </c>
    </row>
    <row r="34" ht="14.25">
      <c r="A34" s="103" t="s">
        <v>276</v>
      </c>
      <c r="B34" s="103" t="s">
        <v>106</v>
      </c>
      <c r="C34" s="104" t="e">
        <f>ROUND('[1]表6资金使用成效（预算执行率）原稿'!C63,2)</f>
        <v>#REF!</v>
      </c>
      <c r="D34" s="104" t="e">
        <f>ROUND('[1]表6资金使用成效（预算执行率）原稿'!D63,2)</f>
        <v>#REF!</v>
      </c>
      <c r="E34" s="104" t="e">
        <f>ROUND('[1]表6资金使用成效（预算执行率）原稿'!E63,2)</f>
        <v>#REF!</v>
      </c>
      <c r="F34" s="104" t="e">
        <f>ROUND('[1]表6资金使用成效（预算执行率）原稿'!F63,2)</f>
        <v>#REF!</v>
      </c>
      <c r="G34" s="104" t="e">
        <f>ROUND('[1]表6资金使用成效（预算执行率）原稿'!G63,2)</f>
        <v>#REF!</v>
      </c>
      <c r="H34" s="104" t="e">
        <f>ROUND('[1]表6资金使用成效（预算执行率）原稿'!H63,2)</f>
        <v>#REF!</v>
      </c>
      <c r="I34" s="104" t="e">
        <f>ROUND('[1]表6资金使用成效（预算执行率）原稿'!I63,2)</f>
        <v>#REF!</v>
      </c>
      <c r="J34" s="104" t="e">
        <f>ROUND('[1]表6资金使用成效（预算执行率）原稿'!J63,2)</f>
        <v>#REF!</v>
      </c>
      <c r="K34" s="104" t="e">
        <f>ROUND('[1]表6资金使用成效（预算执行率）原稿'!K63,2)</f>
        <v>#REF!</v>
      </c>
      <c r="L34" s="98" t="e">
        <f t="shared" si="471"/>
        <v>#REF!</v>
      </c>
    </row>
    <row r="35" ht="14.25">
      <c r="A35" s="103" t="s">
        <v>277</v>
      </c>
      <c r="B35" s="103" t="s">
        <v>107</v>
      </c>
      <c r="C35" s="104" t="e">
        <f>ROUND('[1]表6资金使用成效（预算执行率）原稿'!C64,2)</f>
        <v>#REF!</v>
      </c>
      <c r="D35" s="104" t="e">
        <f>ROUND('[1]表6资金使用成效（预算执行率）原稿'!D64,2)</f>
        <v>#REF!</v>
      </c>
      <c r="E35" s="104" t="e">
        <f>ROUND('[1]表6资金使用成效（预算执行率）原稿'!E64,2)</f>
        <v>#REF!</v>
      </c>
      <c r="F35" s="104" t="e">
        <f>ROUND('[1]表6资金使用成效（预算执行率）原稿'!F64,2)</f>
        <v>#REF!</v>
      </c>
      <c r="G35" s="104" t="e">
        <f>ROUND('[1]表6资金使用成效（预算执行率）原稿'!G64,2)</f>
        <v>#REF!</v>
      </c>
      <c r="H35" s="104" t="e">
        <f>ROUND('[1]表6资金使用成效（预算执行率）原稿'!H64,2)</f>
        <v>#REF!</v>
      </c>
      <c r="I35" s="104" t="e">
        <f>ROUND('[1]表6资金使用成效（预算执行率）原稿'!I64,2)</f>
        <v>#REF!</v>
      </c>
      <c r="J35" s="104" t="e">
        <f>ROUND('[1]表6资金使用成效（预算执行率）原稿'!J64,2)</f>
        <v>#REF!</v>
      </c>
      <c r="K35" s="104" t="e">
        <f>ROUND('[1]表6资金使用成效（预算执行率）原稿'!K64,2)</f>
        <v>#REF!</v>
      </c>
      <c r="L35" s="98" t="e">
        <f t="shared" si="471"/>
        <v>#REF!</v>
      </c>
    </row>
    <row r="36" ht="14.25">
      <c r="A36" s="103" t="s">
        <v>278</v>
      </c>
      <c r="B36" s="103" t="s">
        <v>108</v>
      </c>
      <c r="C36" s="104" t="e">
        <f>ROUND('[1]表6资金使用成效（预算执行率）原稿'!C65,2)</f>
        <v>#REF!</v>
      </c>
      <c r="D36" s="104" t="e">
        <f>ROUND('[1]表6资金使用成效（预算执行率）原稿'!D65,2)</f>
        <v>#REF!</v>
      </c>
      <c r="E36" s="104" t="e">
        <f>ROUND('[1]表6资金使用成效（预算执行率）原稿'!E65,2)</f>
        <v>#REF!</v>
      </c>
      <c r="F36" s="104" t="e">
        <f>ROUND('[1]表6资金使用成效（预算执行率）原稿'!F65,2)</f>
        <v>#REF!</v>
      </c>
      <c r="G36" s="104" t="e">
        <f>ROUND('[1]表6资金使用成效（预算执行率）原稿'!G65,2)</f>
        <v>#REF!</v>
      </c>
      <c r="H36" s="104" t="e">
        <f>ROUND('[1]表6资金使用成效（预算执行率）原稿'!H65,2)</f>
        <v>#REF!</v>
      </c>
      <c r="I36" s="104" t="e">
        <f>ROUND('[1]表6资金使用成效（预算执行率）原稿'!I65,2)</f>
        <v>#REF!</v>
      </c>
      <c r="J36" s="104" t="e">
        <f>ROUND('[1]表6资金使用成效（预算执行率）原稿'!J65,2)</f>
        <v>#REF!</v>
      </c>
      <c r="K36" s="104" t="e">
        <f>ROUND('[1]表6资金使用成效（预算执行率）原稿'!K65,2)</f>
        <v>#REF!</v>
      </c>
      <c r="L36" s="98" t="e">
        <f t="shared" si="471"/>
        <v>#REF!</v>
      </c>
    </row>
    <row r="37" ht="14.25">
      <c r="A37" s="103" t="s">
        <v>279</v>
      </c>
      <c r="B37" s="103" t="s">
        <v>109</v>
      </c>
      <c r="C37" s="104" t="e">
        <f>ROUND('[1]表6资金使用成效（预算执行率）原稿'!C66,2)</f>
        <v>#REF!</v>
      </c>
      <c r="D37" s="104" t="e">
        <f>ROUND('[1]表6资金使用成效（预算执行率）原稿'!D66,2)</f>
        <v>#REF!</v>
      </c>
      <c r="E37" s="104" t="e">
        <f>ROUND('[1]表6资金使用成效（预算执行率）原稿'!E66,2)</f>
        <v>#REF!</v>
      </c>
      <c r="F37" s="104" t="e">
        <f>ROUND('[1]表6资金使用成效（预算执行率）原稿'!F66,2)</f>
        <v>#REF!</v>
      </c>
      <c r="G37" s="104" t="e">
        <f>ROUND('[1]表6资金使用成效（预算执行率）原稿'!G66,2)</f>
        <v>#REF!</v>
      </c>
      <c r="H37" s="104" t="e">
        <f>ROUND('[1]表6资金使用成效（预算执行率）原稿'!H66,2)</f>
        <v>#REF!</v>
      </c>
      <c r="I37" s="104" t="e">
        <f>ROUND('[1]表6资金使用成效（预算执行率）原稿'!I66,2)</f>
        <v>#REF!</v>
      </c>
      <c r="J37" s="104" t="e">
        <f>ROUND('[1]表6资金使用成效（预算执行率）原稿'!J66,2)</f>
        <v>#REF!</v>
      </c>
      <c r="K37" s="104" t="e">
        <f>ROUND('[1]表6资金使用成效（预算执行率）原稿'!K66,2)</f>
        <v>#REF!</v>
      </c>
      <c r="L37" s="98" t="e">
        <f t="shared" si="471"/>
        <v>#REF!</v>
      </c>
    </row>
    <row r="38" ht="14.25">
      <c r="A38" s="103" t="s">
        <v>280</v>
      </c>
      <c r="B38" s="103" t="s">
        <v>112</v>
      </c>
      <c r="C38" s="104" t="e">
        <f>ROUND('[1]表6资金使用成效（预算执行率）原稿'!C67,2)</f>
        <v>#REF!</v>
      </c>
      <c r="D38" s="104" t="e">
        <f>ROUND('[1]表6资金使用成效（预算执行率）原稿'!D67,2)</f>
        <v>#REF!</v>
      </c>
      <c r="E38" s="104" t="e">
        <f>ROUND('[1]表6资金使用成效（预算执行率）原稿'!E67,2)</f>
        <v>#REF!</v>
      </c>
      <c r="F38" s="104" t="e">
        <f>ROUND('[1]表6资金使用成效（预算执行率）原稿'!F67,2)</f>
        <v>#REF!</v>
      </c>
      <c r="G38" s="104" t="e">
        <f>ROUND('[1]表6资金使用成效（预算执行率）原稿'!G67,2)</f>
        <v>#REF!</v>
      </c>
      <c r="H38" s="104" t="e">
        <f>ROUND('[1]表6资金使用成效（预算执行率）原稿'!H67,2)</f>
        <v>#REF!</v>
      </c>
      <c r="I38" s="104" t="e">
        <f>ROUND('[1]表6资金使用成效（预算执行率）原稿'!I67,2)</f>
        <v>#REF!</v>
      </c>
      <c r="J38" s="104" t="e">
        <f>ROUND('[1]表6资金使用成效（预算执行率）原稿'!J67,2)</f>
        <v>#REF!</v>
      </c>
      <c r="K38" s="104" t="e">
        <f>ROUND('[1]表6资金使用成效（预算执行率）原稿'!K67,2)</f>
        <v>#REF!</v>
      </c>
      <c r="L38" s="98" t="e">
        <f t="shared" si="471"/>
        <v>#REF!</v>
      </c>
    </row>
    <row r="39" ht="14.25">
      <c r="A39" s="103" t="s">
        <v>281</v>
      </c>
      <c r="B39" s="103" t="s">
        <v>65</v>
      </c>
      <c r="C39" s="104" t="e">
        <f>ROUND('[1]表6资金使用成效（预算执行率）原稿'!C68,2)</f>
        <v>#REF!</v>
      </c>
      <c r="D39" s="104" t="e">
        <f>ROUND('[1]表6资金使用成效（预算执行率）原稿'!D68,2)</f>
        <v>#REF!</v>
      </c>
      <c r="E39" s="104" t="e">
        <f>ROUND('[1]表6资金使用成效（预算执行率）原稿'!E68,2)</f>
        <v>#REF!</v>
      </c>
      <c r="F39" s="104" t="e">
        <f>ROUND('[1]表6资金使用成效（预算执行率）原稿'!F68,2)</f>
        <v>#REF!</v>
      </c>
      <c r="G39" s="104" t="e">
        <f>ROUND('[1]表6资金使用成效（预算执行率）原稿'!G68,2)</f>
        <v>#REF!</v>
      </c>
      <c r="H39" s="104" t="e">
        <f>ROUND('[1]表6资金使用成效（预算执行率）原稿'!H68,2)</f>
        <v>#REF!</v>
      </c>
      <c r="I39" s="104" t="e">
        <f>ROUND('[1]表6资金使用成效（预算执行率）原稿'!I68,2)</f>
        <v>#REF!</v>
      </c>
      <c r="J39" s="104" t="e">
        <f>ROUND('[1]表6资金使用成效（预算执行率）原稿'!J68,2)</f>
        <v>#REF!</v>
      </c>
      <c r="K39" s="104" t="e">
        <f>ROUND('[1]表6资金使用成效（预算执行率）原稿'!K68,2)</f>
        <v>#REF!</v>
      </c>
      <c r="L39" s="98" t="e">
        <f t="shared" si="471"/>
        <v>#REF!</v>
      </c>
    </row>
    <row r="40" ht="14.25">
      <c r="A40" s="103" t="s">
        <v>282</v>
      </c>
      <c r="B40" s="103" t="s">
        <v>113</v>
      </c>
      <c r="C40" s="104" t="e">
        <f>ROUND('[1]表6资金使用成效（预算执行率）原稿'!C69,2)</f>
        <v>#REF!</v>
      </c>
      <c r="D40" s="104" t="e">
        <f>ROUND('[1]表6资金使用成效（预算执行率）原稿'!D69,2)</f>
        <v>#REF!</v>
      </c>
      <c r="E40" s="104" t="e">
        <f>ROUND('[1]表6资金使用成效（预算执行率）原稿'!E69,2)</f>
        <v>#REF!</v>
      </c>
      <c r="F40" s="104" t="e">
        <f>ROUND('[1]表6资金使用成效（预算执行率）原稿'!F69,2)</f>
        <v>#REF!</v>
      </c>
      <c r="G40" s="104" t="e">
        <f>ROUND('[1]表6资金使用成效（预算执行率）原稿'!G69,2)</f>
        <v>#REF!</v>
      </c>
      <c r="H40" s="104" t="e">
        <f>ROUND('[1]表6资金使用成效（预算执行率）原稿'!H69,2)</f>
        <v>#REF!</v>
      </c>
      <c r="I40" s="104" t="e">
        <f>ROUND('[1]表6资金使用成效（预算执行率）原稿'!I69,2)</f>
        <v>#REF!</v>
      </c>
      <c r="J40" s="104" t="e">
        <f>ROUND('[1]表6资金使用成效（预算执行率）原稿'!J69,2)</f>
        <v>#REF!</v>
      </c>
      <c r="K40" s="104" t="e">
        <f>ROUND('[1]表6资金使用成效（预算执行率）原稿'!K69,2)</f>
        <v>#REF!</v>
      </c>
      <c r="L40" s="98" t="e">
        <f t="shared" si="471"/>
        <v>#REF!</v>
      </c>
    </row>
    <row r="41" ht="14.25">
      <c r="A41" s="103" t="s">
        <v>283</v>
      </c>
      <c r="B41" s="103" t="s">
        <v>114</v>
      </c>
      <c r="C41" s="104" t="e">
        <f>ROUND('[1]表6资金使用成效（预算执行率）原稿'!C70,2)</f>
        <v>#REF!</v>
      </c>
      <c r="D41" s="104" t="e">
        <f>ROUND('[1]表6资金使用成效（预算执行率）原稿'!D70,2)</f>
        <v>#REF!</v>
      </c>
      <c r="E41" s="104" t="e">
        <f>ROUND('[1]表6资金使用成效（预算执行率）原稿'!E70,2)</f>
        <v>#REF!</v>
      </c>
      <c r="F41" s="104" t="e">
        <f>ROUND('[1]表6资金使用成效（预算执行率）原稿'!F70,2)</f>
        <v>#REF!</v>
      </c>
      <c r="G41" s="104" t="e">
        <f>ROUND('[1]表6资金使用成效（预算执行率）原稿'!G70,2)</f>
        <v>#REF!</v>
      </c>
      <c r="H41" s="104" t="e">
        <f>ROUND('[1]表6资金使用成效（预算执行率）原稿'!H70,2)</f>
        <v>#REF!</v>
      </c>
      <c r="I41" s="104" t="e">
        <f>ROUND('[1]表6资金使用成效（预算执行率）原稿'!I70,2)</f>
        <v>#REF!</v>
      </c>
      <c r="J41" s="104" t="e">
        <f>ROUND('[1]表6资金使用成效（预算执行率）原稿'!J70,2)</f>
        <v>#REF!</v>
      </c>
      <c r="K41" s="104" t="e">
        <f>ROUND('[1]表6资金使用成效（预算执行率）原稿'!K70,2)</f>
        <v>#REF!</v>
      </c>
      <c r="L41" s="98" t="e">
        <f t="shared" si="471"/>
        <v>#REF!</v>
      </c>
    </row>
    <row r="42" ht="14.25">
      <c r="A42" s="103" t="s">
        <v>284</v>
      </c>
      <c r="B42" s="103" t="s">
        <v>115</v>
      </c>
      <c r="C42" s="104" t="e">
        <f>ROUND('[1]表6资金使用成效（预算执行率）原稿'!C71,2)</f>
        <v>#REF!</v>
      </c>
      <c r="D42" s="104" t="e">
        <f>ROUND('[1]表6资金使用成效（预算执行率）原稿'!D71,2)</f>
        <v>#REF!</v>
      </c>
      <c r="E42" s="104" t="e">
        <f>ROUND('[1]表6资金使用成效（预算执行率）原稿'!E71,2)</f>
        <v>#REF!</v>
      </c>
      <c r="F42" s="104" t="e">
        <f>ROUND('[1]表6资金使用成效（预算执行率）原稿'!F71,2)</f>
        <v>#REF!</v>
      </c>
      <c r="G42" s="104" t="e">
        <f>ROUND('[1]表6资金使用成效（预算执行率）原稿'!G71,2)</f>
        <v>#REF!</v>
      </c>
      <c r="H42" s="104" t="e">
        <f>ROUND('[1]表6资金使用成效（预算执行率）原稿'!H71,2)</f>
        <v>#REF!</v>
      </c>
      <c r="I42" s="104" t="e">
        <f>ROUND('[1]表6资金使用成效（预算执行率）原稿'!I71,2)</f>
        <v>#REF!</v>
      </c>
      <c r="J42" s="104" t="e">
        <f>ROUND('[1]表6资金使用成效（预算执行率）原稿'!J71,2)</f>
        <v>#REF!</v>
      </c>
      <c r="K42" s="104" t="e">
        <f>ROUND('[1]表6资金使用成效（预算执行率）原稿'!K71,2)</f>
        <v>#REF!</v>
      </c>
      <c r="L42" s="98" t="e">
        <f t="shared" si="471"/>
        <v>#REF!</v>
      </c>
    </row>
    <row r="43" ht="14.25">
      <c r="A43" s="103" t="s">
        <v>285</v>
      </c>
      <c r="B43" s="103" t="s">
        <v>116</v>
      </c>
      <c r="C43" s="104" t="e">
        <f>ROUND('[1]表6资金使用成效（预算执行率）原稿'!C72,2)</f>
        <v>#REF!</v>
      </c>
      <c r="D43" s="104" t="e">
        <f>ROUND('[1]表6资金使用成效（预算执行率）原稿'!D72,2)</f>
        <v>#REF!</v>
      </c>
      <c r="E43" s="104" t="e">
        <f>ROUND('[1]表6资金使用成效（预算执行率）原稿'!E72,2)</f>
        <v>#REF!</v>
      </c>
      <c r="F43" s="104" t="e">
        <f>ROUND('[1]表6资金使用成效（预算执行率）原稿'!F72,2)</f>
        <v>#REF!</v>
      </c>
      <c r="G43" s="104" t="e">
        <f>ROUND('[1]表6资金使用成效（预算执行率）原稿'!G72,2)</f>
        <v>#REF!</v>
      </c>
      <c r="H43" s="104" t="e">
        <f>ROUND('[1]表6资金使用成效（预算执行率）原稿'!H72,2)</f>
        <v>#REF!</v>
      </c>
      <c r="I43" s="104" t="e">
        <f>ROUND('[1]表6资金使用成效（预算执行率）原稿'!I72,2)</f>
        <v>#REF!</v>
      </c>
      <c r="J43" s="104" t="e">
        <f>ROUND('[1]表6资金使用成效（预算执行率）原稿'!J72,2)</f>
        <v>#REF!</v>
      </c>
      <c r="K43" s="104" t="e">
        <f>ROUND('[1]表6资金使用成效（预算执行率）原稿'!K72,2)</f>
        <v>#REF!</v>
      </c>
      <c r="L43" s="98" t="e">
        <f t="shared" si="471"/>
        <v>#REF!</v>
      </c>
    </row>
    <row r="44" ht="14.25">
      <c r="A44" s="103" t="s">
        <v>286</v>
      </c>
      <c r="B44" s="103" t="s">
        <v>117</v>
      </c>
      <c r="C44" s="104" t="e">
        <f>ROUND('[1]表6资金使用成效（预算执行率）原稿'!C73,2)</f>
        <v>#REF!</v>
      </c>
      <c r="D44" s="104" t="e">
        <f>ROUND('[1]表6资金使用成效（预算执行率）原稿'!D73,2)</f>
        <v>#REF!</v>
      </c>
      <c r="E44" s="104" t="e">
        <f>ROUND('[1]表6资金使用成效（预算执行率）原稿'!E73,2)</f>
        <v>#REF!</v>
      </c>
      <c r="F44" s="104" t="e">
        <f>ROUND('[1]表6资金使用成效（预算执行率）原稿'!F73,2)</f>
        <v>#REF!</v>
      </c>
      <c r="G44" s="104" t="e">
        <f>ROUND('[1]表6资金使用成效（预算执行率）原稿'!G73,2)</f>
        <v>#REF!</v>
      </c>
      <c r="H44" s="104" t="e">
        <f>ROUND('[1]表6资金使用成效（预算执行率）原稿'!H73,2)</f>
        <v>#REF!</v>
      </c>
      <c r="I44" s="104" t="e">
        <f>ROUND('[1]表6资金使用成效（预算执行率）原稿'!I73,2)</f>
        <v>#REF!</v>
      </c>
      <c r="J44" s="104" t="e">
        <f>ROUND('[1]表6资金使用成效（预算执行率）原稿'!J73,2)</f>
        <v>#REF!</v>
      </c>
      <c r="K44" s="104" t="e">
        <f>ROUND('[1]表6资金使用成效（预算执行率）原稿'!K73,2)</f>
        <v>#REF!</v>
      </c>
      <c r="L44" s="98" t="e">
        <f t="shared" si="471"/>
        <v>#REF!</v>
      </c>
    </row>
    <row r="45" ht="14.25">
      <c r="A45" s="103" t="s">
        <v>287</v>
      </c>
      <c r="B45" s="103" t="s">
        <v>118</v>
      </c>
      <c r="C45" s="104" t="e">
        <f>ROUND('[1]表6资金使用成效（预算执行率）原稿'!C74,2)</f>
        <v>#REF!</v>
      </c>
      <c r="D45" s="104" t="e">
        <f>ROUND('[1]表6资金使用成效（预算执行率）原稿'!D74,2)</f>
        <v>#REF!</v>
      </c>
      <c r="E45" s="104" t="e">
        <f>ROUND('[1]表6资金使用成效（预算执行率）原稿'!E74,2)</f>
        <v>#REF!</v>
      </c>
      <c r="F45" s="104" t="e">
        <f>ROUND('[1]表6资金使用成效（预算执行率）原稿'!F74,2)</f>
        <v>#REF!</v>
      </c>
      <c r="G45" s="104" t="e">
        <f>ROUND('[1]表6资金使用成效（预算执行率）原稿'!G74,2)</f>
        <v>#REF!</v>
      </c>
      <c r="H45" s="104" t="e">
        <f>ROUND('[1]表6资金使用成效（预算执行率）原稿'!H74,2)</f>
        <v>#REF!</v>
      </c>
      <c r="I45" s="104" t="e">
        <f>ROUND('[1]表6资金使用成效（预算执行率）原稿'!I74,2)</f>
        <v>#REF!</v>
      </c>
      <c r="J45" s="104" t="e">
        <f>ROUND('[1]表6资金使用成效（预算执行率）原稿'!J74,2)</f>
        <v>#REF!</v>
      </c>
      <c r="K45" s="104" t="e">
        <f>ROUND('[1]表6资金使用成效（预算执行率）原稿'!K74,2)</f>
        <v>#REF!</v>
      </c>
      <c r="L45" s="98" t="e">
        <f t="shared" si="471"/>
        <v>#REF!</v>
      </c>
    </row>
    <row r="46" ht="14.25">
      <c r="A46" s="103" t="s">
        <v>288</v>
      </c>
      <c r="B46" s="103" t="s">
        <v>119</v>
      </c>
      <c r="C46" s="104" t="e">
        <f>ROUND('[1]表6资金使用成效（预算执行率）原稿'!C75,2)</f>
        <v>#REF!</v>
      </c>
      <c r="D46" s="104" t="e">
        <f>ROUND('[1]表6资金使用成效（预算执行率）原稿'!D75,2)</f>
        <v>#REF!</v>
      </c>
      <c r="E46" s="104" t="e">
        <f>ROUND('[1]表6资金使用成效（预算执行率）原稿'!E75,2)</f>
        <v>#REF!</v>
      </c>
      <c r="F46" s="104" t="e">
        <f>ROUND('[1]表6资金使用成效（预算执行率）原稿'!F75,2)</f>
        <v>#REF!</v>
      </c>
      <c r="G46" s="104" t="e">
        <f>ROUND('[1]表6资金使用成效（预算执行率）原稿'!G75,2)</f>
        <v>#REF!</v>
      </c>
      <c r="H46" s="104" t="e">
        <f>ROUND('[1]表6资金使用成效（预算执行率）原稿'!H75,2)</f>
        <v>#REF!</v>
      </c>
      <c r="I46" s="104" t="e">
        <f>ROUND('[1]表6资金使用成效（预算执行率）原稿'!I75,2)</f>
        <v>#REF!</v>
      </c>
      <c r="J46" s="104" t="e">
        <f>ROUND('[1]表6资金使用成效（预算执行率）原稿'!J75,2)</f>
        <v>#REF!</v>
      </c>
      <c r="K46" s="104" t="e">
        <f>ROUND('[1]表6资金使用成效（预算执行率）原稿'!K75,2)</f>
        <v>#REF!</v>
      </c>
      <c r="L46" s="98" t="e">
        <f t="shared" si="471"/>
        <v>#REF!</v>
      </c>
    </row>
    <row r="47" ht="14.25">
      <c r="A47" s="103" t="s">
        <v>289</v>
      </c>
      <c r="B47" s="103" t="s">
        <v>120</v>
      </c>
      <c r="C47" s="104" t="e">
        <f>ROUND('[1]表6资金使用成效（预算执行率）原稿'!C76,2)</f>
        <v>#REF!</v>
      </c>
      <c r="D47" s="104" t="e">
        <f>ROUND('[1]表6资金使用成效（预算执行率）原稿'!D76,2)</f>
        <v>#REF!</v>
      </c>
      <c r="E47" s="104" t="e">
        <f>ROUND('[1]表6资金使用成效（预算执行率）原稿'!E76,2)</f>
        <v>#REF!</v>
      </c>
      <c r="F47" s="104" t="e">
        <f>ROUND('[1]表6资金使用成效（预算执行率）原稿'!F76,2)</f>
        <v>#REF!</v>
      </c>
      <c r="G47" s="104" t="e">
        <f>ROUND('[1]表6资金使用成效（预算执行率）原稿'!G76,2)</f>
        <v>#REF!</v>
      </c>
      <c r="H47" s="104" t="e">
        <f>ROUND('[1]表6资金使用成效（预算执行率）原稿'!H76,2)</f>
        <v>#REF!</v>
      </c>
      <c r="I47" s="104" t="e">
        <f>ROUND('[1]表6资金使用成效（预算执行率）原稿'!I76,2)</f>
        <v>#REF!</v>
      </c>
      <c r="J47" s="104" t="e">
        <f>ROUND('[1]表6资金使用成效（预算执行率）原稿'!J76,2)</f>
        <v>#REF!</v>
      </c>
      <c r="K47" s="104" t="e">
        <f>ROUND('[1]表6资金使用成效（预算执行率）原稿'!K76,2)</f>
        <v>#REF!</v>
      </c>
      <c r="L47" s="98" t="e">
        <f t="shared" si="471"/>
        <v>#REF!</v>
      </c>
    </row>
    <row r="48" ht="14.25">
      <c r="A48" s="103" t="s">
        <v>290</v>
      </c>
      <c r="B48" s="103" t="s">
        <v>192</v>
      </c>
      <c r="C48" s="104" t="e">
        <f>ROUND('[1]表6资金使用成效（预算执行率）原稿'!C77,2)</f>
        <v>#REF!</v>
      </c>
      <c r="D48" s="104" t="e">
        <f>ROUND('[1]表6资金使用成效（预算执行率）原稿'!D77,2)</f>
        <v>#REF!</v>
      </c>
      <c r="E48" s="104" t="e">
        <f>ROUND('[1]表6资金使用成效（预算执行率）原稿'!E77,2)</f>
        <v>#REF!</v>
      </c>
      <c r="F48" s="104" t="e">
        <f>ROUND('[1]表6资金使用成效（预算执行率）原稿'!F77,2)</f>
        <v>#REF!</v>
      </c>
      <c r="G48" s="104" t="e">
        <f>ROUND('[1]表6资金使用成效（预算执行率）原稿'!G77,2)</f>
        <v>#REF!</v>
      </c>
      <c r="H48" s="104" t="e">
        <f>ROUND('[1]表6资金使用成效（预算执行率）原稿'!H77,2)</f>
        <v>#REF!</v>
      </c>
      <c r="I48" s="104" t="e">
        <f>ROUND('[1]表6资金使用成效（预算执行率）原稿'!I77,2)</f>
        <v>#REF!</v>
      </c>
      <c r="J48" s="104" t="e">
        <f>ROUND('[1]表6资金使用成效（预算执行率）原稿'!J77,2)</f>
        <v>#REF!</v>
      </c>
      <c r="K48" s="104" t="e">
        <f>ROUND('[1]表6资金使用成效（预算执行率）原稿'!K77,2)</f>
        <v>#REF!</v>
      </c>
      <c r="L48" s="98" t="e">
        <f t="shared" si="471"/>
        <v>#REF!</v>
      </c>
    </row>
    <row r="49" ht="14.25">
      <c r="A49" s="103" t="s">
        <v>291</v>
      </c>
      <c r="B49" s="103" t="s">
        <v>193</v>
      </c>
      <c r="C49" s="104" t="e">
        <f>ROUND('[1]表6资金使用成效（预算执行率）原稿'!C78,2)</f>
        <v>#REF!</v>
      </c>
      <c r="D49" s="104" t="e">
        <f>ROUND('[1]表6资金使用成效（预算执行率）原稿'!D78,2)</f>
        <v>#REF!</v>
      </c>
      <c r="E49" s="104" t="e">
        <f>ROUND('[1]表6资金使用成效（预算执行率）原稿'!E78,2)</f>
        <v>#REF!</v>
      </c>
      <c r="F49" s="104" t="e">
        <f>ROUND('[1]表6资金使用成效（预算执行率）原稿'!F78,2)</f>
        <v>#REF!</v>
      </c>
      <c r="G49" s="104" t="e">
        <f>ROUND('[1]表6资金使用成效（预算执行率）原稿'!G78,2)</f>
        <v>#REF!</v>
      </c>
      <c r="H49" s="104" t="e">
        <f>ROUND('[1]表6资金使用成效（预算执行率）原稿'!H78,2)</f>
        <v>#REF!</v>
      </c>
      <c r="I49" s="104" t="e">
        <f>ROUND('[1]表6资金使用成效（预算执行率）原稿'!I78,2)</f>
        <v>#REF!</v>
      </c>
      <c r="J49" s="104" t="e">
        <f>ROUND('[1]表6资金使用成效（预算执行率）原稿'!J78,2)</f>
        <v>#REF!</v>
      </c>
      <c r="K49" s="104" t="e">
        <f>ROUND('[1]表6资金使用成效（预算执行率）原稿'!K78,2)</f>
        <v>#REF!</v>
      </c>
      <c r="L49" s="98" t="e">
        <f t="shared" si="471"/>
        <v>#REF!</v>
      </c>
    </row>
    <row r="50" ht="14.25">
      <c r="A50" s="103" t="s">
        <v>292</v>
      </c>
      <c r="B50" s="103" t="s">
        <v>69</v>
      </c>
      <c r="C50" s="104" t="e">
        <f>ROUND('[1]表6资金使用成效（预算执行率）原稿'!C79,2)</f>
        <v>#REF!</v>
      </c>
      <c r="D50" s="104" t="e">
        <f>ROUND('[1]表6资金使用成效（预算执行率）原稿'!D79,2)</f>
        <v>#REF!</v>
      </c>
      <c r="E50" s="104" t="e">
        <f>ROUND('[1]表6资金使用成效（预算执行率）原稿'!E79,2)</f>
        <v>#REF!</v>
      </c>
      <c r="F50" s="104" t="e">
        <f>ROUND('[1]表6资金使用成效（预算执行率）原稿'!F79,2)</f>
        <v>#REF!</v>
      </c>
      <c r="G50" s="104" t="e">
        <f>ROUND('[1]表6资金使用成效（预算执行率）原稿'!G79,2)</f>
        <v>#REF!</v>
      </c>
      <c r="H50" s="104" t="e">
        <f>ROUND('[1]表6资金使用成效（预算执行率）原稿'!H79,2)</f>
        <v>#REF!</v>
      </c>
      <c r="I50" s="104" t="e">
        <f>ROUND('[1]表6资金使用成效（预算执行率）原稿'!I79,2)</f>
        <v>#REF!</v>
      </c>
      <c r="J50" s="104" t="e">
        <f>ROUND('[1]表6资金使用成效（预算执行率）原稿'!J79,2)</f>
        <v>#REF!</v>
      </c>
      <c r="K50" s="104" t="e">
        <f>ROUND('[1]表6资金使用成效（预算执行率）原稿'!K79,2)</f>
        <v>#REF!</v>
      </c>
      <c r="L50" s="98" t="e">
        <f t="shared" si="471"/>
        <v>#REF!</v>
      </c>
    </row>
    <row r="51" ht="14.25">
      <c r="A51" s="103" t="s">
        <v>293</v>
      </c>
      <c r="B51" s="103" t="s">
        <v>194</v>
      </c>
      <c r="C51" s="104" t="e">
        <f>ROUND('[1]表6资金使用成效（预算执行率）原稿'!C80,2)</f>
        <v>#REF!</v>
      </c>
      <c r="D51" s="104" t="e">
        <f>ROUND('[1]表6资金使用成效（预算执行率）原稿'!D80,2)</f>
        <v>#REF!</v>
      </c>
      <c r="E51" s="104" t="e">
        <f>ROUND('[1]表6资金使用成效（预算执行率）原稿'!E80,2)</f>
        <v>#REF!</v>
      </c>
      <c r="F51" s="104" t="e">
        <f>ROUND('[1]表6资金使用成效（预算执行率）原稿'!F80,2)</f>
        <v>#REF!</v>
      </c>
      <c r="G51" s="104" t="e">
        <f>ROUND('[1]表6资金使用成效（预算执行率）原稿'!G80,2)</f>
        <v>#REF!</v>
      </c>
      <c r="H51" s="104" t="e">
        <f>ROUND('[1]表6资金使用成效（预算执行率）原稿'!H80,2)</f>
        <v>#REF!</v>
      </c>
      <c r="I51" s="104" t="e">
        <f>ROUND('[1]表6资金使用成效（预算执行率）原稿'!I80,2)</f>
        <v>#REF!</v>
      </c>
      <c r="J51" s="104" t="e">
        <f>ROUND('[1]表6资金使用成效（预算执行率）原稿'!J80,2)</f>
        <v>#REF!</v>
      </c>
      <c r="K51" s="104" t="e">
        <f>ROUND('[1]表6资金使用成效（预算执行率）原稿'!K80,2)</f>
        <v>#REF!</v>
      </c>
      <c r="L51" s="98" t="e">
        <f t="shared" si="471"/>
        <v>#REF!</v>
      </c>
    </row>
    <row r="52" ht="14.25">
      <c r="A52" s="103" t="s">
        <v>294</v>
      </c>
      <c r="B52" s="103" t="s">
        <v>195</v>
      </c>
      <c r="C52" s="104" t="e">
        <f>ROUND('[1]表6资金使用成效（预算执行率）原稿'!C81,2)</f>
        <v>#REF!</v>
      </c>
      <c r="D52" s="104" t="e">
        <f>ROUND('[1]表6资金使用成效（预算执行率）原稿'!D81,2)</f>
        <v>#REF!</v>
      </c>
      <c r="E52" s="104" t="e">
        <f>ROUND('[1]表6资金使用成效（预算执行率）原稿'!E81,2)</f>
        <v>#REF!</v>
      </c>
      <c r="F52" s="104" t="e">
        <f>ROUND('[1]表6资金使用成效（预算执行率）原稿'!F81,2)</f>
        <v>#REF!</v>
      </c>
      <c r="G52" s="104" t="e">
        <f>ROUND('[1]表6资金使用成效（预算执行率）原稿'!G81,2)</f>
        <v>#REF!</v>
      </c>
      <c r="H52" s="104" t="e">
        <f>ROUND('[1]表6资金使用成效（预算执行率）原稿'!H81,2)</f>
        <v>#REF!</v>
      </c>
      <c r="I52" s="104" t="e">
        <f>ROUND('[1]表6资金使用成效（预算执行率）原稿'!I81,2)</f>
        <v>#REF!</v>
      </c>
      <c r="J52" s="104" t="e">
        <f>ROUND('[1]表6资金使用成效（预算执行率）原稿'!J81,2)</f>
        <v>#REF!</v>
      </c>
      <c r="K52" s="104" t="e">
        <f>ROUND('[1]表6资金使用成效（预算执行率）原稿'!K81,2)</f>
        <v>#REF!</v>
      </c>
      <c r="L52" s="98" t="e">
        <f t="shared" si="471"/>
        <v>#REF!</v>
      </c>
    </row>
    <row r="53" ht="14.25">
      <c r="A53" s="103" t="s">
        <v>295</v>
      </c>
      <c r="B53" s="103" t="s">
        <v>196</v>
      </c>
      <c r="C53" s="104" t="e">
        <f>ROUND('[1]表6资金使用成效（预算执行率）原稿'!C82,2)</f>
        <v>#REF!</v>
      </c>
      <c r="D53" s="104" t="e">
        <f>ROUND('[1]表6资金使用成效（预算执行率）原稿'!D82,2)</f>
        <v>#REF!</v>
      </c>
      <c r="E53" s="104" t="e">
        <f>ROUND('[1]表6资金使用成效（预算执行率）原稿'!E82,2)</f>
        <v>#REF!</v>
      </c>
      <c r="F53" s="104" t="e">
        <f>ROUND('[1]表6资金使用成效（预算执行率）原稿'!F82,2)</f>
        <v>#REF!</v>
      </c>
      <c r="G53" s="104" t="e">
        <f>ROUND('[1]表6资金使用成效（预算执行率）原稿'!G82,2)</f>
        <v>#REF!</v>
      </c>
      <c r="H53" s="104" t="e">
        <f>ROUND('[1]表6资金使用成效（预算执行率）原稿'!H82,2)</f>
        <v>#REF!</v>
      </c>
      <c r="I53" s="104" t="e">
        <f>ROUND('[1]表6资金使用成效（预算执行率）原稿'!I82,2)</f>
        <v>#REF!</v>
      </c>
      <c r="J53" s="104" t="e">
        <f>ROUND('[1]表6资金使用成效（预算执行率）原稿'!J82,2)</f>
        <v>#REF!</v>
      </c>
      <c r="K53" s="104" t="e">
        <f>ROUND('[1]表6资金使用成效（预算执行率）原稿'!K82,2)</f>
        <v>#REF!</v>
      </c>
      <c r="L53" s="98" t="e">
        <f t="shared" si="471"/>
        <v>#REF!</v>
      </c>
    </row>
    <row r="54" ht="14.25">
      <c r="A54" s="103" t="s">
        <v>296</v>
      </c>
      <c r="B54" s="103" t="s">
        <v>84</v>
      </c>
      <c r="C54" s="104" t="e">
        <f>ROUND('[1]表6资金使用成效（预算执行率）原稿'!C83,2)</f>
        <v>#REF!</v>
      </c>
      <c r="D54" s="104" t="e">
        <f>ROUND('[1]表6资金使用成效（预算执行率）原稿'!D83,2)</f>
        <v>#REF!</v>
      </c>
      <c r="E54" s="104" t="e">
        <f>ROUND('[1]表6资金使用成效（预算执行率）原稿'!E83,2)</f>
        <v>#REF!</v>
      </c>
      <c r="F54" s="104" t="e">
        <f>ROUND('[1]表6资金使用成效（预算执行率）原稿'!F83,2)</f>
        <v>#REF!</v>
      </c>
      <c r="G54" s="104" t="e">
        <f>ROUND('[1]表6资金使用成效（预算执行率）原稿'!G83,2)</f>
        <v>#REF!</v>
      </c>
      <c r="H54" s="104" t="e">
        <f>ROUND('[1]表6资金使用成效（预算执行率）原稿'!H83,2)</f>
        <v>#REF!</v>
      </c>
      <c r="I54" s="104" t="e">
        <f>ROUND('[1]表6资金使用成效（预算执行率）原稿'!I83,2)</f>
        <v>#REF!</v>
      </c>
      <c r="J54" s="104" t="e">
        <f>ROUND('[1]表6资金使用成效（预算执行率）原稿'!J83,2)</f>
        <v>#REF!</v>
      </c>
      <c r="K54" s="104" t="e">
        <f>ROUND('[1]表6资金使用成效（预算执行率）原稿'!K83,2)</f>
        <v>#REF!</v>
      </c>
      <c r="L54" s="98" t="e">
        <f t="shared" si="471"/>
        <v>#REF!</v>
      </c>
    </row>
    <row r="55" ht="14.25">
      <c r="A55" s="103" t="s">
        <v>297</v>
      </c>
      <c r="B55" s="103" t="s">
        <v>85</v>
      </c>
      <c r="C55" s="104" t="e">
        <f>ROUND('[1]表6资金使用成效（预算执行率）原稿'!C84,2)</f>
        <v>#REF!</v>
      </c>
      <c r="D55" s="104" t="e">
        <f>ROUND('[1]表6资金使用成效（预算执行率）原稿'!D84,2)</f>
        <v>#REF!</v>
      </c>
      <c r="E55" s="104" t="e">
        <f>ROUND('[1]表6资金使用成效（预算执行率）原稿'!E84,2)</f>
        <v>#REF!</v>
      </c>
      <c r="F55" s="104" t="e">
        <f>ROUND('[1]表6资金使用成效（预算执行率）原稿'!F84,2)</f>
        <v>#REF!</v>
      </c>
      <c r="G55" s="104" t="e">
        <f>ROUND('[1]表6资金使用成效（预算执行率）原稿'!G84,2)</f>
        <v>#REF!</v>
      </c>
      <c r="H55" s="104" t="e">
        <f>ROUND('[1]表6资金使用成效（预算执行率）原稿'!H84,2)</f>
        <v>#REF!</v>
      </c>
      <c r="I55" s="104" t="e">
        <f>ROUND('[1]表6资金使用成效（预算执行率）原稿'!I84,2)</f>
        <v>#REF!</v>
      </c>
      <c r="J55" s="104" t="e">
        <f>ROUND('[1]表6资金使用成效（预算执行率）原稿'!J84,2)</f>
        <v>#REF!</v>
      </c>
      <c r="K55" s="104" t="e">
        <f>ROUND('[1]表6资金使用成效（预算执行率）原稿'!K84,2)</f>
        <v>#REF!</v>
      </c>
      <c r="L55" s="98" t="e">
        <f t="shared" si="471"/>
        <v>#REF!</v>
      </c>
    </row>
    <row r="56" ht="14.25">
      <c r="A56" s="103" t="s">
        <v>298</v>
      </c>
      <c r="B56" s="103" t="s">
        <v>86</v>
      </c>
      <c r="C56" s="104" t="e">
        <f>ROUND('[1]表6资金使用成效（预算执行率）原稿'!C85,2)</f>
        <v>#REF!</v>
      </c>
      <c r="D56" s="104" t="e">
        <f>ROUND('[1]表6资金使用成效（预算执行率）原稿'!D85,2)</f>
        <v>#REF!</v>
      </c>
      <c r="E56" s="104" t="e">
        <f>ROUND('[1]表6资金使用成效（预算执行率）原稿'!E85,2)</f>
        <v>#REF!</v>
      </c>
      <c r="F56" s="104" t="e">
        <f>ROUND('[1]表6资金使用成效（预算执行率）原稿'!F85,2)</f>
        <v>#REF!</v>
      </c>
      <c r="G56" s="104" t="e">
        <f>ROUND('[1]表6资金使用成效（预算执行率）原稿'!G85,2)</f>
        <v>#REF!</v>
      </c>
      <c r="H56" s="104" t="e">
        <f>ROUND('[1]表6资金使用成效（预算执行率）原稿'!H85,2)</f>
        <v>#REF!</v>
      </c>
      <c r="I56" s="104" t="e">
        <f>ROUND('[1]表6资金使用成效（预算执行率）原稿'!I85,2)</f>
        <v>#REF!</v>
      </c>
      <c r="J56" s="104" t="e">
        <f>ROUND('[1]表6资金使用成效（预算执行率）原稿'!J85,2)</f>
        <v>#REF!</v>
      </c>
      <c r="K56" s="104" t="e">
        <f>ROUND('[1]表6资金使用成效（预算执行率）原稿'!K85,2)</f>
        <v>#REF!</v>
      </c>
      <c r="L56" s="98" t="e">
        <f t="shared" si="471"/>
        <v>#REF!</v>
      </c>
    </row>
    <row r="57" ht="14.25">
      <c r="A57" s="103" t="s">
        <v>299</v>
      </c>
      <c r="B57" s="103" t="s">
        <v>87</v>
      </c>
      <c r="C57" s="104" t="e">
        <f>ROUND('[1]表6资金使用成效（预算执行率）原稿'!C86,2)</f>
        <v>#REF!</v>
      </c>
      <c r="D57" s="104" t="e">
        <f>ROUND('[1]表6资金使用成效（预算执行率）原稿'!D86,2)</f>
        <v>#REF!</v>
      </c>
      <c r="E57" s="104" t="e">
        <f>ROUND('[1]表6资金使用成效（预算执行率）原稿'!E86,2)</f>
        <v>#REF!</v>
      </c>
      <c r="F57" s="104" t="e">
        <f>ROUND('[1]表6资金使用成效（预算执行率）原稿'!F86,2)</f>
        <v>#REF!</v>
      </c>
      <c r="G57" s="104" t="e">
        <f>ROUND('[1]表6资金使用成效（预算执行率）原稿'!G86,2)</f>
        <v>#REF!</v>
      </c>
      <c r="H57" s="104" t="e">
        <f>ROUND('[1]表6资金使用成效（预算执行率）原稿'!H86,2)</f>
        <v>#REF!</v>
      </c>
      <c r="I57" s="104" t="e">
        <f>ROUND('[1]表6资金使用成效（预算执行率）原稿'!I86,2)</f>
        <v>#REF!</v>
      </c>
      <c r="J57" s="104" t="e">
        <f>ROUND('[1]表6资金使用成效（预算执行率）原稿'!J86,2)</f>
        <v>#REF!</v>
      </c>
      <c r="K57" s="104" t="e">
        <f>ROUND('[1]表6资金使用成效（预算执行率）原稿'!K86,2)</f>
        <v>#REF!</v>
      </c>
      <c r="L57" s="98" t="e">
        <f t="shared" si="471"/>
        <v>#REF!</v>
      </c>
    </row>
    <row r="58" ht="14.25">
      <c r="A58" s="103" t="s">
        <v>300</v>
      </c>
      <c r="B58" s="103" t="s">
        <v>88</v>
      </c>
      <c r="C58" s="104" t="e">
        <f>ROUND('[1]表6资金使用成效（预算执行率）原稿'!C87,2)</f>
        <v>#REF!</v>
      </c>
      <c r="D58" s="104" t="e">
        <f>ROUND('[1]表6资金使用成效（预算执行率）原稿'!D87,2)</f>
        <v>#REF!</v>
      </c>
      <c r="E58" s="104" t="e">
        <f>ROUND('[1]表6资金使用成效（预算执行率）原稿'!E87,2)</f>
        <v>#REF!</v>
      </c>
      <c r="F58" s="104" t="e">
        <f>ROUND('[1]表6资金使用成效（预算执行率）原稿'!F87,2)</f>
        <v>#REF!</v>
      </c>
      <c r="G58" s="104" t="e">
        <f>ROUND('[1]表6资金使用成效（预算执行率）原稿'!G87,2)</f>
        <v>#REF!</v>
      </c>
      <c r="H58" s="104" t="e">
        <f>ROUND('[1]表6资金使用成效（预算执行率）原稿'!H87,2)</f>
        <v>#REF!</v>
      </c>
      <c r="I58" s="104" t="e">
        <f>ROUND('[1]表6资金使用成效（预算执行率）原稿'!I87,2)</f>
        <v>#REF!</v>
      </c>
      <c r="J58" s="104" t="e">
        <f>ROUND('[1]表6资金使用成效（预算执行率）原稿'!J87,2)</f>
        <v>#REF!</v>
      </c>
      <c r="K58" s="104" t="e">
        <f>ROUND('[1]表6资金使用成效（预算执行率）原稿'!K87,2)</f>
        <v>#REF!</v>
      </c>
      <c r="L58" s="98" t="e">
        <f t="shared" si="471"/>
        <v>#REF!</v>
      </c>
    </row>
    <row r="59" ht="14.25">
      <c r="A59" s="103" t="s">
        <v>301</v>
      </c>
      <c r="B59" s="103" t="s">
        <v>89</v>
      </c>
      <c r="C59" s="104" t="e">
        <f>ROUND('[1]表6资金使用成效（预算执行率）原稿'!C88,2)</f>
        <v>#REF!</v>
      </c>
      <c r="D59" s="104" t="e">
        <f>ROUND('[1]表6资金使用成效（预算执行率）原稿'!D88,2)</f>
        <v>#REF!</v>
      </c>
      <c r="E59" s="104" t="e">
        <f>ROUND('[1]表6资金使用成效（预算执行率）原稿'!E88,2)</f>
        <v>#REF!</v>
      </c>
      <c r="F59" s="104" t="e">
        <f>ROUND('[1]表6资金使用成效（预算执行率）原稿'!F88,2)</f>
        <v>#REF!</v>
      </c>
      <c r="G59" s="104" t="e">
        <f>ROUND('[1]表6资金使用成效（预算执行率）原稿'!G88,2)</f>
        <v>#REF!</v>
      </c>
      <c r="H59" s="104" t="e">
        <f>ROUND('[1]表6资金使用成效（预算执行率）原稿'!H88,2)</f>
        <v>#REF!</v>
      </c>
      <c r="I59" s="104" t="e">
        <f>ROUND('[1]表6资金使用成效（预算执行率）原稿'!I88,2)</f>
        <v>#REF!</v>
      </c>
      <c r="J59" s="104" t="e">
        <f>ROUND('[1]表6资金使用成效（预算执行率）原稿'!J88,2)</f>
        <v>#REF!</v>
      </c>
      <c r="K59" s="104" t="e">
        <f>ROUND('[1]表6资金使用成效（预算执行率）原稿'!K88,2)</f>
        <v>#REF!</v>
      </c>
      <c r="L59" s="98" t="e">
        <f t="shared" si="471"/>
        <v>#REF!</v>
      </c>
    </row>
    <row r="60" ht="14.25">
      <c r="A60" s="103" t="s">
        <v>302</v>
      </c>
      <c r="B60" s="103" t="s">
        <v>92</v>
      </c>
      <c r="C60" s="104" t="e">
        <f>ROUND('[1]表6资金使用成效（预算执行率）原稿'!C89,2)</f>
        <v>#REF!</v>
      </c>
      <c r="D60" s="104" t="e">
        <f>ROUND('[1]表6资金使用成效（预算执行率）原稿'!D89,2)</f>
        <v>#REF!</v>
      </c>
      <c r="E60" s="104" t="e">
        <f>ROUND('[1]表6资金使用成效（预算执行率）原稿'!E89,2)</f>
        <v>#REF!</v>
      </c>
      <c r="F60" s="104" t="e">
        <f>ROUND('[1]表6资金使用成效（预算执行率）原稿'!F89,2)</f>
        <v>#REF!</v>
      </c>
      <c r="G60" s="104" t="e">
        <f>ROUND('[1]表6资金使用成效（预算执行率）原稿'!G89,2)</f>
        <v>#REF!</v>
      </c>
      <c r="H60" s="104" t="e">
        <f>ROUND('[1]表6资金使用成效（预算执行率）原稿'!H89,2)</f>
        <v>#REF!</v>
      </c>
      <c r="I60" s="104" t="e">
        <f>ROUND('[1]表6资金使用成效（预算执行率）原稿'!I89,2)</f>
        <v>#REF!</v>
      </c>
      <c r="J60" s="104" t="e">
        <f>ROUND('[1]表6资金使用成效（预算执行率）原稿'!J89,2)</f>
        <v>#REF!</v>
      </c>
      <c r="K60" s="104" t="e">
        <f>ROUND('[1]表6资金使用成效（预算执行率）原稿'!K89,2)</f>
        <v>#REF!</v>
      </c>
      <c r="L60" s="98" t="e">
        <f t="shared" si="471"/>
        <v>#REF!</v>
      </c>
    </row>
    <row r="61" ht="14.25">
      <c r="A61" s="103" t="s">
        <v>303</v>
      </c>
      <c r="B61" s="103" t="s">
        <v>71</v>
      </c>
      <c r="C61" s="104" t="e">
        <f>ROUND('[1]表6资金使用成效（预算执行率）原稿'!C90,2)</f>
        <v>#REF!</v>
      </c>
      <c r="D61" s="104" t="e">
        <f>ROUND('[1]表6资金使用成效（预算执行率）原稿'!D90,2)</f>
        <v>#REF!</v>
      </c>
      <c r="E61" s="104" t="e">
        <f>ROUND('[1]表6资金使用成效（预算执行率）原稿'!E90,2)</f>
        <v>#REF!</v>
      </c>
      <c r="F61" s="104" t="e">
        <f>ROUND('[1]表6资金使用成效（预算执行率）原稿'!F90,2)</f>
        <v>#REF!</v>
      </c>
      <c r="G61" s="104" t="e">
        <f>ROUND('[1]表6资金使用成效（预算执行率）原稿'!G90,2)</f>
        <v>#REF!</v>
      </c>
      <c r="H61" s="104" t="e">
        <f>ROUND('[1]表6资金使用成效（预算执行率）原稿'!H90,2)</f>
        <v>#REF!</v>
      </c>
      <c r="I61" s="104" t="e">
        <f>ROUND('[1]表6资金使用成效（预算执行率）原稿'!I90,2)</f>
        <v>#REF!</v>
      </c>
      <c r="J61" s="104" t="e">
        <f>ROUND('[1]表6资金使用成效（预算执行率）原稿'!J90,2)</f>
        <v>#REF!</v>
      </c>
      <c r="K61" s="104" t="e">
        <f>ROUND('[1]表6资金使用成效（预算执行率）原稿'!K90,2)</f>
        <v>#REF!</v>
      </c>
      <c r="L61" s="98" t="e">
        <f t="shared" si="471"/>
        <v>#REF!</v>
      </c>
    </row>
    <row r="62" ht="14.25">
      <c r="A62" s="103" t="s">
        <v>304</v>
      </c>
      <c r="B62" s="103" t="s">
        <v>95</v>
      </c>
      <c r="C62" s="104" t="e">
        <f>ROUND('[1]表6资金使用成效（预算执行率）原稿'!C91,2)</f>
        <v>#REF!</v>
      </c>
      <c r="D62" s="104" t="e">
        <f>ROUND('[1]表6资金使用成效（预算执行率）原稿'!D91,2)</f>
        <v>#REF!</v>
      </c>
      <c r="E62" s="104" t="e">
        <f>ROUND('[1]表6资金使用成效（预算执行率）原稿'!E91,2)</f>
        <v>#REF!</v>
      </c>
      <c r="F62" s="104" t="e">
        <f>ROUND('[1]表6资金使用成效（预算执行率）原稿'!F91,2)</f>
        <v>#REF!</v>
      </c>
      <c r="G62" s="104" t="e">
        <f>ROUND('[1]表6资金使用成效（预算执行率）原稿'!G91,2)</f>
        <v>#REF!</v>
      </c>
      <c r="H62" s="104" t="e">
        <f>ROUND('[1]表6资金使用成效（预算执行率）原稿'!H91,2)</f>
        <v>#REF!</v>
      </c>
      <c r="I62" s="104" t="e">
        <f>ROUND('[1]表6资金使用成效（预算执行率）原稿'!I91,2)</f>
        <v>#REF!</v>
      </c>
      <c r="J62" s="104" t="e">
        <f>ROUND('[1]表6资金使用成效（预算执行率）原稿'!J91,2)</f>
        <v>#REF!</v>
      </c>
      <c r="K62" s="104" t="e">
        <f>ROUND('[1]表6资金使用成效（预算执行率）原稿'!K91,2)</f>
        <v>#REF!</v>
      </c>
      <c r="L62" s="98" t="e">
        <f t="shared" si="471"/>
        <v>#REF!</v>
      </c>
    </row>
    <row r="63" ht="14.25">
      <c r="A63" s="103" t="s">
        <v>305</v>
      </c>
      <c r="B63" s="103" t="s">
        <v>96</v>
      </c>
      <c r="C63" s="104" t="e">
        <f>ROUND('[1]表6资金使用成效（预算执行率）原稿'!C92,2)</f>
        <v>#REF!</v>
      </c>
      <c r="D63" s="104" t="e">
        <f>ROUND('[1]表6资金使用成效（预算执行率）原稿'!D92,2)</f>
        <v>#REF!</v>
      </c>
      <c r="E63" s="104" t="e">
        <f>ROUND('[1]表6资金使用成效（预算执行率）原稿'!E92,2)</f>
        <v>#REF!</v>
      </c>
      <c r="F63" s="104" t="e">
        <f>ROUND('[1]表6资金使用成效（预算执行率）原稿'!F92,2)</f>
        <v>#REF!</v>
      </c>
      <c r="G63" s="104" t="e">
        <f>ROUND('[1]表6资金使用成效（预算执行率）原稿'!G92,2)</f>
        <v>#REF!</v>
      </c>
      <c r="H63" s="104" t="e">
        <f>ROUND('[1]表6资金使用成效（预算执行率）原稿'!H92,2)</f>
        <v>#REF!</v>
      </c>
      <c r="I63" s="104" t="e">
        <f>ROUND('[1]表6资金使用成效（预算执行率）原稿'!I92,2)</f>
        <v>#REF!</v>
      </c>
      <c r="J63" s="104" t="e">
        <f>ROUND('[1]表6资金使用成效（预算执行率）原稿'!J92,2)</f>
        <v>#REF!</v>
      </c>
      <c r="K63" s="104" t="e">
        <f>ROUND('[1]表6资金使用成效（预算执行率）原稿'!K92,2)</f>
        <v>#REF!</v>
      </c>
      <c r="L63" s="98" t="e">
        <f t="shared" si="471"/>
        <v>#REF!</v>
      </c>
    </row>
    <row r="64" ht="14.25">
      <c r="A64" s="103" t="s">
        <v>306</v>
      </c>
      <c r="B64" s="103" t="s">
        <v>97</v>
      </c>
      <c r="C64" s="104" t="e">
        <f>ROUND('[1]表6资金使用成效（预算执行率）原稿'!C93,2)</f>
        <v>#REF!</v>
      </c>
      <c r="D64" s="104" t="e">
        <f>ROUND('[1]表6资金使用成效（预算执行率）原稿'!D93,2)</f>
        <v>#REF!</v>
      </c>
      <c r="E64" s="104" t="e">
        <f>ROUND('[1]表6资金使用成效（预算执行率）原稿'!E93,2)</f>
        <v>#REF!</v>
      </c>
      <c r="F64" s="104" t="e">
        <f>ROUND('[1]表6资金使用成效（预算执行率）原稿'!F93,2)</f>
        <v>#REF!</v>
      </c>
      <c r="G64" s="104" t="e">
        <f>ROUND('[1]表6资金使用成效（预算执行率）原稿'!G93,2)</f>
        <v>#REF!</v>
      </c>
      <c r="H64" s="104" t="e">
        <f>ROUND('[1]表6资金使用成效（预算执行率）原稿'!H93,2)</f>
        <v>#REF!</v>
      </c>
      <c r="I64" s="104" t="e">
        <f>ROUND('[1]表6资金使用成效（预算执行率）原稿'!I93,2)</f>
        <v>#REF!</v>
      </c>
      <c r="J64" s="104" t="e">
        <f>ROUND('[1]表6资金使用成效（预算执行率）原稿'!J93,2)</f>
        <v>#REF!</v>
      </c>
      <c r="K64" s="104" t="e">
        <f>ROUND('[1]表6资金使用成效（预算执行率）原稿'!K93,2)</f>
        <v>#REF!</v>
      </c>
      <c r="L64" s="98" t="e">
        <f t="shared" si="471"/>
        <v>#REF!</v>
      </c>
    </row>
    <row r="65" ht="14.25">
      <c r="A65" s="103" t="s">
        <v>307</v>
      </c>
      <c r="B65" s="103" t="s">
        <v>98</v>
      </c>
      <c r="C65" s="104" t="e">
        <f>ROUND('[1]表6资金使用成效（预算执行率）原稿'!C94,2)</f>
        <v>#REF!</v>
      </c>
      <c r="D65" s="104" t="e">
        <f>ROUND('[1]表6资金使用成效（预算执行率）原稿'!D94,2)</f>
        <v>#REF!</v>
      </c>
      <c r="E65" s="104" t="e">
        <f>ROUND('[1]表6资金使用成效（预算执行率）原稿'!E94,2)</f>
        <v>#REF!</v>
      </c>
      <c r="F65" s="104" t="e">
        <f>ROUND('[1]表6资金使用成效（预算执行率）原稿'!F94,2)</f>
        <v>#REF!</v>
      </c>
      <c r="G65" s="104" t="e">
        <f>ROUND('[1]表6资金使用成效（预算执行率）原稿'!G94,2)</f>
        <v>#REF!</v>
      </c>
      <c r="H65" s="104" t="e">
        <f>ROUND('[1]表6资金使用成效（预算执行率）原稿'!H94,2)</f>
        <v>#REF!</v>
      </c>
      <c r="I65" s="104" t="e">
        <f>ROUND('[1]表6资金使用成效（预算执行率）原稿'!I94,2)</f>
        <v>#REF!</v>
      </c>
      <c r="J65" s="104" t="e">
        <f>ROUND('[1]表6资金使用成效（预算执行率）原稿'!J94,2)</f>
        <v>#REF!</v>
      </c>
      <c r="K65" s="104" t="e">
        <f>ROUND('[1]表6资金使用成效（预算执行率）原稿'!K94,2)</f>
        <v>#REF!</v>
      </c>
      <c r="L65" s="98" t="e">
        <f t="shared" si="471"/>
        <v>#REF!</v>
      </c>
    </row>
    <row r="66" ht="14.25">
      <c r="A66" s="103" t="s">
        <v>308</v>
      </c>
      <c r="B66" s="103" t="s">
        <v>206</v>
      </c>
      <c r="C66" s="104" t="e">
        <f>ROUND('[1]表6资金使用成效（预算执行率）原稿'!C95,2)</f>
        <v>#REF!</v>
      </c>
      <c r="D66" s="104" t="e">
        <f>ROUND('[1]表6资金使用成效（预算执行率）原稿'!D95,2)</f>
        <v>#REF!</v>
      </c>
      <c r="E66" s="104" t="e">
        <f>ROUND('[1]表6资金使用成效（预算执行率）原稿'!E95,2)</f>
        <v>#REF!</v>
      </c>
      <c r="F66" s="104" t="e">
        <f>ROUND('[1]表6资金使用成效（预算执行率）原稿'!F95,2)</f>
        <v>#REF!</v>
      </c>
      <c r="G66" s="104" t="e">
        <f>ROUND('[1]表6资金使用成效（预算执行率）原稿'!G95,2)</f>
        <v>#REF!</v>
      </c>
      <c r="H66" s="104" t="e">
        <f>ROUND('[1]表6资金使用成效（预算执行率）原稿'!H95,2)</f>
        <v>#REF!</v>
      </c>
      <c r="I66" s="104" t="e">
        <f>ROUND('[1]表6资金使用成效（预算执行率）原稿'!I95,2)</f>
        <v>#REF!</v>
      </c>
      <c r="J66" s="104" t="e">
        <f>ROUND('[1]表6资金使用成效（预算执行率）原稿'!J95,2)</f>
        <v>#REF!</v>
      </c>
      <c r="K66" s="104" t="e">
        <f>ROUND('[1]表6资金使用成效（预算执行率）原稿'!K95,2)</f>
        <v>#REF!</v>
      </c>
      <c r="L66" s="98" t="e">
        <f t="shared" si="471"/>
        <v>#REF!</v>
      </c>
    </row>
    <row r="67" ht="14.25">
      <c r="A67" s="103" t="s">
        <v>309</v>
      </c>
      <c r="B67" s="103" t="s">
        <v>207</v>
      </c>
      <c r="C67" s="104" t="e">
        <f>ROUND('[1]表6资金使用成效（预算执行率）原稿'!C96,2)</f>
        <v>#REF!</v>
      </c>
      <c r="D67" s="104" t="e">
        <f>ROUND('[1]表6资金使用成效（预算执行率）原稿'!D96,2)</f>
        <v>#REF!</v>
      </c>
      <c r="E67" s="104" t="e">
        <f>ROUND('[1]表6资金使用成效（预算执行率）原稿'!E96,2)</f>
        <v>#REF!</v>
      </c>
      <c r="F67" s="104" t="e">
        <f>ROUND('[1]表6资金使用成效（预算执行率）原稿'!F96,2)</f>
        <v>#REF!</v>
      </c>
      <c r="G67" s="104" t="e">
        <f>ROUND('[1]表6资金使用成效（预算执行率）原稿'!G96,2)</f>
        <v>#REF!</v>
      </c>
      <c r="H67" s="104" t="e">
        <f>ROUND('[1]表6资金使用成效（预算执行率）原稿'!H96,2)</f>
        <v>#REF!</v>
      </c>
      <c r="I67" s="104" t="e">
        <f>ROUND('[1]表6资金使用成效（预算执行率）原稿'!I96,2)</f>
        <v>#REF!</v>
      </c>
      <c r="J67" s="104" t="e">
        <f>ROUND('[1]表6资金使用成效（预算执行率）原稿'!J96,2)</f>
        <v>#REF!</v>
      </c>
      <c r="K67" s="104" t="e">
        <f>ROUND('[1]表6资金使用成效（预算执行率）原稿'!K96,2)</f>
        <v>#REF!</v>
      </c>
      <c r="L67" s="98" t="e">
        <f t="shared" ref="L67:L126" si="472">1-F67/G67</f>
        <v>#REF!</v>
      </c>
    </row>
    <row r="68" ht="14.25">
      <c r="A68" s="103" t="s">
        <v>310</v>
      </c>
      <c r="B68" s="103" t="s">
        <v>208</v>
      </c>
      <c r="C68" s="104" t="e">
        <f>ROUND('[1]表6资金使用成效（预算执行率）原稿'!C97,2)</f>
        <v>#REF!</v>
      </c>
      <c r="D68" s="104" t="e">
        <f>ROUND('[1]表6资金使用成效（预算执行率）原稿'!D97,2)</f>
        <v>#REF!</v>
      </c>
      <c r="E68" s="104" t="e">
        <f>ROUND('[1]表6资金使用成效（预算执行率）原稿'!E97,2)</f>
        <v>#REF!</v>
      </c>
      <c r="F68" s="104" t="e">
        <f>ROUND('[1]表6资金使用成效（预算执行率）原稿'!F97,2)</f>
        <v>#REF!</v>
      </c>
      <c r="G68" s="104" t="e">
        <f>ROUND('[1]表6资金使用成效（预算执行率）原稿'!G97,2)</f>
        <v>#REF!</v>
      </c>
      <c r="H68" s="104" t="e">
        <f>ROUND('[1]表6资金使用成效（预算执行率）原稿'!H97,2)</f>
        <v>#REF!</v>
      </c>
      <c r="I68" s="104" t="e">
        <f>ROUND('[1]表6资金使用成效（预算执行率）原稿'!I97,2)</f>
        <v>#REF!</v>
      </c>
      <c r="J68" s="104" t="e">
        <f>ROUND('[1]表6资金使用成效（预算执行率）原稿'!J97,2)</f>
        <v>#REF!</v>
      </c>
      <c r="K68" s="104" t="e">
        <f>ROUND('[1]表6资金使用成效（预算执行率）原稿'!K97,2)</f>
        <v>#REF!</v>
      </c>
      <c r="L68" s="98" t="e">
        <f t="shared" si="472"/>
        <v>#REF!</v>
      </c>
    </row>
    <row r="69" ht="14.25">
      <c r="A69" s="103" t="s">
        <v>311</v>
      </c>
      <c r="B69" s="103" t="s">
        <v>209</v>
      </c>
      <c r="C69" s="104" t="e">
        <f>ROUND('[1]表6资金使用成效（预算执行率）原稿'!C98,2)</f>
        <v>#REF!</v>
      </c>
      <c r="D69" s="104" t="e">
        <f>ROUND('[1]表6资金使用成效（预算执行率）原稿'!D98,2)</f>
        <v>#REF!</v>
      </c>
      <c r="E69" s="104" t="e">
        <f>ROUND('[1]表6资金使用成效（预算执行率）原稿'!E98,2)</f>
        <v>#REF!</v>
      </c>
      <c r="F69" s="104" t="e">
        <f>ROUND('[1]表6资金使用成效（预算执行率）原稿'!F98,2)</f>
        <v>#REF!</v>
      </c>
      <c r="G69" s="104" t="e">
        <f>ROUND('[1]表6资金使用成效（预算执行率）原稿'!G98,2)</f>
        <v>#REF!</v>
      </c>
      <c r="H69" s="104" t="e">
        <f>ROUND('[1]表6资金使用成效（预算执行率）原稿'!H98,2)</f>
        <v>#REF!</v>
      </c>
      <c r="I69" s="104" t="e">
        <f>ROUND('[1]表6资金使用成效（预算执行率）原稿'!I98,2)</f>
        <v>#REF!</v>
      </c>
      <c r="J69" s="104" t="e">
        <f>ROUND('[1]表6资金使用成效（预算执行率）原稿'!J98,2)</f>
        <v>#REF!</v>
      </c>
      <c r="K69" s="104" t="e">
        <f>ROUND('[1]表6资金使用成效（预算执行率）原稿'!K98,2)</f>
        <v>#REF!</v>
      </c>
      <c r="L69" s="98" t="e">
        <f t="shared" si="472"/>
        <v>#REF!</v>
      </c>
    </row>
    <row r="70" ht="14.25">
      <c r="A70" s="103" t="s">
        <v>312</v>
      </c>
      <c r="B70" s="103" t="s">
        <v>210</v>
      </c>
      <c r="C70" s="104" t="e">
        <f>ROUND('[1]表6资金使用成效（预算执行率）原稿'!C99,2)</f>
        <v>#REF!</v>
      </c>
      <c r="D70" s="104" t="e">
        <f>ROUND('[1]表6资金使用成效（预算执行率）原稿'!D99,2)</f>
        <v>#REF!</v>
      </c>
      <c r="E70" s="104" t="e">
        <f>ROUND('[1]表6资金使用成效（预算执行率）原稿'!E99,2)</f>
        <v>#REF!</v>
      </c>
      <c r="F70" s="104" t="e">
        <f>ROUND('[1]表6资金使用成效（预算执行率）原稿'!F99,2)</f>
        <v>#REF!</v>
      </c>
      <c r="G70" s="104" t="e">
        <f>ROUND('[1]表6资金使用成效（预算执行率）原稿'!G99,2)</f>
        <v>#REF!</v>
      </c>
      <c r="H70" s="104" t="e">
        <f>ROUND('[1]表6资金使用成效（预算执行率）原稿'!H99,2)</f>
        <v>#REF!</v>
      </c>
      <c r="I70" s="104" t="e">
        <f>ROUND('[1]表6资金使用成效（预算执行率）原稿'!I99,2)</f>
        <v>#REF!</v>
      </c>
      <c r="J70" s="104" t="e">
        <f>ROUND('[1]表6资金使用成效（预算执行率）原稿'!J99,2)</f>
        <v>#REF!</v>
      </c>
      <c r="K70" s="104" t="e">
        <f>ROUND('[1]表6资金使用成效（预算执行率）原稿'!K99,2)</f>
        <v>#REF!</v>
      </c>
      <c r="L70" s="98" t="e">
        <f t="shared" si="472"/>
        <v>#REF!</v>
      </c>
    </row>
    <row r="71" ht="14.25">
      <c r="A71" s="103" t="s">
        <v>313</v>
      </c>
      <c r="B71" s="103" t="s">
        <v>149</v>
      </c>
      <c r="C71" s="104" t="e">
        <f>ROUND('[1]表6资金使用成效（预算执行率）原稿'!C100,2)</f>
        <v>#REF!</v>
      </c>
      <c r="D71" s="104" t="e">
        <f>ROUND('[1]表6资金使用成效（预算执行率）原稿'!D100,2)</f>
        <v>#REF!</v>
      </c>
      <c r="E71" s="104" t="e">
        <f>ROUND('[1]表6资金使用成效（预算执行率）原稿'!E100,2)</f>
        <v>#REF!</v>
      </c>
      <c r="F71" s="104" t="e">
        <f>ROUND('[1]表6资金使用成效（预算执行率）原稿'!F100,2)</f>
        <v>#REF!</v>
      </c>
      <c r="G71" s="104" t="e">
        <f>ROUND('[1]表6资金使用成效（预算执行率）原稿'!G100,2)</f>
        <v>#REF!</v>
      </c>
      <c r="H71" s="104" t="e">
        <f>ROUND('[1]表6资金使用成效（预算执行率）原稿'!H100,2)</f>
        <v>#REF!</v>
      </c>
      <c r="I71" s="104" t="e">
        <f>ROUND('[1]表6资金使用成效（预算执行率）原稿'!I100,2)</f>
        <v>#REF!</v>
      </c>
      <c r="J71" s="104" t="e">
        <f>ROUND('[1]表6资金使用成效（预算执行率）原稿'!J100,2)</f>
        <v>#REF!</v>
      </c>
      <c r="K71" s="104" t="e">
        <f>ROUND('[1]表6资金使用成效（预算执行率）原稿'!K100,2)</f>
        <v>#REF!</v>
      </c>
      <c r="L71" s="98" t="e">
        <f t="shared" si="472"/>
        <v>#REF!</v>
      </c>
    </row>
    <row r="72" ht="14.25">
      <c r="A72" s="103" t="s">
        <v>314</v>
      </c>
      <c r="B72" s="103" t="s">
        <v>73</v>
      </c>
      <c r="C72" s="104" t="e">
        <f>ROUND('[1]表6资金使用成效（预算执行率）原稿'!C101,2)</f>
        <v>#REF!</v>
      </c>
      <c r="D72" s="104" t="e">
        <f>ROUND('[1]表6资金使用成效（预算执行率）原稿'!D101,2)</f>
        <v>#REF!</v>
      </c>
      <c r="E72" s="104" t="e">
        <f>ROUND('[1]表6资金使用成效（预算执行率）原稿'!E101,2)</f>
        <v>#REF!</v>
      </c>
      <c r="F72" s="104" t="e">
        <f>ROUND('[1]表6资金使用成效（预算执行率）原稿'!F101,2)</f>
        <v>#REF!</v>
      </c>
      <c r="G72" s="104" t="e">
        <f>ROUND('[1]表6资金使用成效（预算执行率）原稿'!G101,2)</f>
        <v>#REF!</v>
      </c>
      <c r="H72" s="104" t="e">
        <f>ROUND('[1]表6资金使用成效（预算执行率）原稿'!H101,2)</f>
        <v>#REF!</v>
      </c>
      <c r="I72" s="104" t="e">
        <f>ROUND('[1]表6资金使用成效（预算执行率）原稿'!I101,2)</f>
        <v>#REF!</v>
      </c>
      <c r="J72" s="104" t="e">
        <f>ROUND('[1]表6资金使用成效（预算执行率）原稿'!J101,2)</f>
        <v>#REF!</v>
      </c>
      <c r="K72" s="104" t="e">
        <f>ROUND('[1]表6资金使用成效（预算执行率）原稿'!K101,2)</f>
        <v>#REF!</v>
      </c>
      <c r="L72" s="98" t="e">
        <f t="shared" si="472"/>
        <v>#REF!</v>
      </c>
    </row>
    <row r="73" ht="14.25">
      <c r="A73" s="103" t="s">
        <v>315</v>
      </c>
      <c r="B73" s="103" t="s">
        <v>150</v>
      </c>
      <c r="C73" s="104" t="e">
        <f>ROUND('[1]表6资金使用成效（预算执行率）原稿'!C102,2)</f>
        <v>#REF!</v>
      </c>
      <c r="D73" s="104" t="e">
        <f>ROUND('[1]表6资金使用成效（预算执行率）原稿'!D102,2)</f>
        <v>#REF!</v>
      </c>
      <c r="E73" s="104" t="e">
        <f>ROUND('[1]表6资金使用成效（预算执行率）原稿'!E102,2)</f>
        <v>#REF!</v>
      </c>
      <c r="F73" s="104" t="e">
        <f>ROUND('[1]表6资金使用成效（预算执行率）原稿'!F102,2)</f>
        <v>#REF!</v>
      </c>
      <c r="G73" s="104" t="e">
        <f>ROUND('[1]表6资金使用成效（预算执行率）原稿'!G102,2)</f>
        <v>#REF!</v>
      </c>
      <c r="H73" s="104" t="e">
        <f>ROUND('[1]表6资金使用成效（预算执行率）原稿'!H102,2)</f>
        <v>#REF!</v>
      </c>
      <c r="I73" s="104" t="e">
        <f>ROUND('[1]表6资金使用成效（预算执行率）原稿'!I102,2)</f>
        <v>#REF!</v>
      </c>
      <c r="J73" s="104" t="e">
        <f>ROUND('[1]表6资金使用成效（预算执行率）原稿'!J102,2)</f>
        <v>#REF!</v>
      </c>
      <c r="K73" s="104" t="e">
        <f>ROUND('[1]表6资金使用成效（预算执行率）原稿'!K102,2)</f>
        <v>#REF!</v>
      </c>
      <c r="L73" s="98" t="e">
        <f t="shared" si="472"/>
        <v>#REF!</v>
      </c>
    </row>
    <row r="74" ht="14.25">
      <c r="A74" s="103" t="s">
        <v>316</v>
      </c>
      <c r="B74" s="103" t="s">
        <v>151</v>
      </c>
      <c r="C74" s="104" t="e">
        <f>ROUND('[1]表6资金使用成效（预算执行率）原稿'!C103,2)</f>
        <v>#REF!</v>
      </c>
      <c r="D74" s="104" t="e">
        <f>ROUND('[1]表6资金使用成效（预算执行率）原稿'!D103,2)</f>
        <v>#REF!</v>
      </c>
      <c r="E74" s="104" t="e">
        <f>ROUND('[1]表6资金使用成效（预算执行率）原稿'!E103,2)</f>
        <v>#REF!</v>
      </c>
      <c r="F74" s="104" t="e">
        <f>ROUND('[1]表6资金使用成效（预算执行率）原稿'!F103,2)</f>
        <v>#REF!</v>
      </c>
      <c r="G74" s="104" t="e">
        <f>ROUND('[1]表6资金使用成效（预算执行率）原稿'!G103,2)</f>
        <v>#REF!</v>
      </c>
      <c r="H74" s="104" t="e">
        <f>ROUND('[1]表6资金使用成效（预算执行率）原稿'!H103,2)</f>
        <v>#REF!</v>
      </c>
      <c r="I74" s="104" t="e">
        <f>ROUND('[1]表6资金使用成效（预算执行率）原稿'!I103,2)</f>
        <v>#REF!</v>
      </c>
      <c r="J74" s="104" t="e">
        <f>ROUND('[1]表6资金使用成效（预算执行率）原稿'!J103,2)</f>
        <v>#REF!</v>
      </c>
      <c r="K74" s="104" t="e">
        <f>ROUND('[1]表6资金使用成效（预算执行率）原稿'!K103,2)</f>
        <v>#REF!</v>
      </c>
      <c r="L74" s="98" t="e">
        <f t="shared" si="472"/>
        <v>#REF!</v>
      </c>
    </row>
    <row r="75" ht="14.25">
      <c r="A75" s="103" t="s">
        <v>317</v>
      </c>
      <c r="B75" s="103" t="s">
        <v>152</v>
      </c>
      <c r="C75" s="104" t="e">
        <f>ROUND('[1]表6资金使用成效（预算执行率）原稿'!C104,2)</f>
        <v>#REF!</v>
      </c>
      <c r="D75" s="104" t="e">
        <f>ROUND('[1]表6资金使用成效（预算执行率）原稿'!D104,2)</f>
        <v>#REF!</v>
      </c>
      <c r="E75" s="104" t="e">
        <f>ROUND('[1]表6资金使用成效（预算执行率）原稿'!E104,2)</f>
        <v>#REF!</v>
      </c>
      <c r="F75" s="104" t="e">
        <f>ROUND('[1]表6资金使用成效（预算执行率）原稿'!F104,2)</f>
        <v>#REF!</v>
      </c>
      <c r="G75" s="104" t="e">
        <f>ROUND('[1]表6资金使用成效（预算执行率）原稿'!G104,2)</f>
        <v>#REF!</v>
      </c>
      <c r="H75" s="104" t="e">
        <f>ROUND('[1]表6资金使用成效（预算执行率）原稿'!H104,2)</f>
        <v>#REF!</v>
      </c>
      <c r="I75" s="104" t="e">
        <f>ROUND('[1]表6资金使用成效（预算执行率）原稿'!I104,2)</f>
        <v>#REF!</v>
      </c>
      <c r="J75" s="104" t="e">
        <f>ROUND('[1]表6资金使用成效（预算执行率）原稿'!J104,2)</f>
        <v>#REF!</v>
      </c>
      <c r="K75" s="104" t="e">
        <f>ROUND('[1]表6资金使用成效（预算执行率）原稿'!K104,2)</f>
        <v>#REF!</v>
      </c>
      <c r="L75" s="98" t="e">
        <f t="shared" si="472"/>
        <v>#REF!</v>
      </c>
    </row>
    <row r="76" ht="14.25">
      <c r="A76" s="103" t="s">
        <v>318</v>
      </c>
      <c r="B76" s="103" t="s">
        <v>153</v>
      </c>
      <c r="C76" s="104" t="e">
        <f>ROUND('[1]表6资金使用成效（预算执行率）原稿'!C105,2)</f>
        <v>#REF!</v>
      </c>
      <c r="D76" s="104" t="e">
        <f>ROUND('[1]表6资金使用成效（预算执行率）原稿'!D105,2)</f>
        <v>#REF!</v>
      </c>
      <c r="E76" s="104" t="e">
        <f>ROUND('[1]表6资金使用成效（预算执行率）原稿'!E105,2)</f>
        <v>#REF!</v>
      </c>
      <c r="F76" s="104" t="e">
        <f>ROUND('[1]表6资金使用成效（预算执行率）原稿'!F105,2)</f>
        <v>#REF!</v>
      </c>
      <c r="G76" s="104" t="e">
        <f>ROUND('[1]表6资金使用成效（预算执行率）原稿'!G105,2)</f>
        <v>#REF!</v>
      </c>
      <c r="H76" s="104" t="e">
        <f>ROUND('[1]表6资金使用成效（预算执行率）原稿'!H105,2)</f>
        <v>#REF!</v>
      </c>
      <c r="I76" s="104" t="e">
        <f>ROUND('[1]表6资金使用成效（预算执行率）原稿'!I105,2)</f>
        <v>#REF!</v>
      </c>
      <c r="J76" s="104" t="e">
        <f>ROUND('[1]表6资金使用成效（预算执行率）原稿'!J105,2)</f>
        <v>#REF!</v>
      </c>
      <c r="K76" s="104" t="e">
        <f>ROUND('[1]表6资金使用成效（预算执行率）原稿'!K105,2)</f>
        <v>#REF!</v>
      </c>
      <c r="L76" s="98" t="e">
        <f t="shared" si="472"/>
        <v>#REF!</v>
      </c>
    </row>
    <row r="77" ht="14.25">
      <c r="A77" s="103" t="s">
        <v>319</v>
      </c>
      <c r="B77" s="103" t="s">
        <v>154</v>
      </c>
      <c r="C77" s="104" t="e">
        <f>ROUND('[1]表6资金使用成效（预算执行率）原稿'!C106,2)</f>
        <v>#REF!</v>
      </c>
      <c r="D77" s="104" t="e">
        <f>ROUND('[1]表6资金使用成效（预算执行率）原稿'!D106,2)</f>
        <v>#REF!</v>
      </c>
      <c r="E77" s="104" t="e">
        <f>ROUND('[1]表6资金使用成效（预算执行率）原稿'!E106,2)</f>
        <v>#REF!</v>
      </c>
      <c r="F77" s="104" t="e">
        <f>ROUND('[1]表6资金使用成效（预算执行率）原稿'!F106,2)</f>
        <v>#REF!</v>
      </c>
      <c r="G77" s="104" t="e">
        <f>ROUND('[1]表6资金使用成效（预算执行率）原稿'!G106,2)</f>
        <v>#REF!</v>
      </c>
      <c r="H77" s="104" t="e">
        <f>ROUND('[1]表6资金使用成效（预算执行率）原稿'!H106,2)</f>
        <v>#REF!</v>
      </c>
      <c r="I77" s="104" t="e">
        <f>ROUND('[1]表6资金使用成效（预算执行率）原稿'!I106,2)</f>
        <v>#REF!</v>
      </c>
      <c r="J77" s="104" t="e">
        <f>ROUND('[1]表6资金使用成效（预算执行率）原稿'!J106,2)</f>
        <v>#REF!</v>
      </c>
      <c r="K77" s="104" t="e">
        <f>ROUND('[1]表6资金使用成效（预算执行率）原稿'!K106,2)</f>
        <v>#REF!</v>
      </c>
      <c r="L77" s="98" t="e">
        <f t="shared" si="472"/>
        <v>#REF!</v>
      </c>
    </row>
    <row r="78" ht="14.25">
      <c r="A78" s="103" t="s">
        <v>320</v>
      </c>
      <c r="B78" s="103" t="s">
        <v>155</v>
      </c>
      <c r="C78" s="104" t="e">
        <f>ROUND('[1]表6资金使用成效（预算执行率）原稿'!C107,2)</f>
        <v>#REF!</v>
      </c>
      <c r="D78" s="104" t="e">
        <f>ROUND('[1]表6资金使用成效（预算执行率）原稿'!D107,2)</f>
        <v>#REF!</v>
      </c>
      <c r="E78" s="104" t="e">
        <f>ROUND('[1]表6资金使用成效（预算执行率）原稿'!E107,2)</f>
        <v>#REF!</v>
      </c>
      <c r="F78" s="104" t="e">
        <f>ROUND('[1]表6资金使用成效（预算执行率）原稿'!F107,2)</f>
        <v>#REF!</v>
      </c>
      <c r="G78" s="104" t="e">
        <f>ROUND('[1]表6资金使用成效（预算执行率）原稿'!G107,2)</f>
        <v>#REF!</v>
      </c>
      <c r="H78" s="104" t="e">
        <f>ROUND('[1]表6资金使用成效（预算执行率）原稿'!H107,2)</f>
        <v>#REF!</v>
      </c>
      <c r="I78" s="104" t="e">
        <f>ROUND('[1]表6资金使用成效（预算执行率）原稿'!I107,2)</f>
        <v>#REF!</v>
      </c>
      <c r="J78" s="104" t="e">
        <f>ROUND('[1]表6资金使用成效（预算执行率）原稿'!J107,2)</f>
        <v>#REF!</v>
      </c>
      <c r="K78" s="104" t="e">
        <f>ROUND('[1]表6资金使用成效（预算执行率）原稿'!K107,2)</f>
        <v>#REF!</v>
      </c>
      <c r="L78" s="98" t="e">
        <f t="shared" si="472"/>
        <v>#REF!</v>
      </c>
    </row>
    <row r="79" ht="14.25">
      <c r="A79" s="103" t="s">
        <v>321</v>
      </c>
      <c r="B79" s="103" t="s">
        <v>156</v>
      </c>
      <c r="C79" s="104" t="e">
        <f>ROUND('[1]表6资金使用成效（预算执行率）原稿'!C108,2)</f>
        <v>#REF!</v>
      </c>
      <c r="D79" s="104" t="e">
        <f>ROUND('[1]表6资金使用成效（预算执行率）原稿'!D108,2)</f>
        <v>#REF!</v>
      </c>
      <c r="E79" s="104" t="e">
        <f>ROUND('[1]表6资金使用成效（预算执行率）原稿'!E108,2)</f>
        <v>#REF!</v>
      </c>
      <c r="F79" s="104" t="e">
        <f>ROUND('[1]表6资金使用成效（预算执行率）原稿'!F108,2)</f>
        <v>#REF!</v>
      </c>
      <c r="G79" s="104" t="e">
        <f>ROUND('[1]表6资金使用成效（预算执行率）原稿'!G108,2)</f>
        <v>#REF!</v>
      </c>
      <c r="H79" s="104" t="e">
        <f>ROUND('[1]表6资金使用成效（预算执行率）原稿'!H108,2)</f>
        <v>#REF!</v>
      </c>
      <c r="I79" s="104" t="e">
        <f>ROUND('[1]表6资金使用成效（预算执行率）原稿'!I108,2)</f>
        <v>#REF!</v>
      </c>
      <c r="J79" s="104" t="e">
        <f>ROUND('[1]表6资金使用成效（预算执行率）原稿'!J108,2)</f>
        <v>#REF!</v>
      </c>
      <c r="K79" s="104" t="e">
        <f>ROUND('[1]表6资金使用成效（预算执行率）原稿'!K108,2)</f>
        <v>#REF!</v>
      </c>
      <c r="L79" s="98" t="e">
        <f t="shared" si="472"/>
        <v>#REF!</v>
      </c>
    </row>
    <row r="80" ht="14.25">
      <c r="A80" s="103" t="s">
        <v>322</v>
      </c>
      <c r="B80" s="103" t="s">
        <v>157</v>
      </c>
      <c r="C80" s="104" t="e">
        <f>ROUND('[1]表6资金使用成效（预算执行率）原稿'!C109,2)</f>
        <v>#REF!</v>
      </c>
      <c r="D80" s="104" t="e">
        <f>ROUND('[1]表6资金使用成效（预算执行率）原稿'!D109,2)</f>
        <v>#REF!</v>
      </c>
      <c r="E80" s="104" t="e">
        <f>ROUND('[1]表6资金使用成效（预算执行率）原稿'!E109,2)</f>
        <v>#REF!</v>
      </c>
      <c r="F80" s="104" t="e">
        <f>ROUND('[1]表6资金使用成效（预算执行率）原稿'!F109,2)</f>
        <v>#REF!</v>
      </c>
      <c r="G80" s="104" t="e">
        <f>ROUND('[1]表6资金使用成效（预算执行率）原稿'!G109,2)</f>
        <v>#REF!</v>
      </c>
      <c r="H80" s="104" t="e">
        <f>ROUND('[1]表6资金使用成效（预算执行率）原稿'!H109,2)</f>
        <v>#REF!</v>
      </c>
      <c r="I80" s="104" t="e">
        <f>ROUND('[1]表6资金使用成效（预算执行率）原稿'!I109,2)</f>
        <v>#REF!</v>
      </c>
      <c r="J80" s="104" t="e">
        <f>ROUND('[1]表6资金使用成效（预算执行率）原稿'!J109,2)</f>
        <v>#REF!</v>
      </c>
      <c r="K80" s="104" t="e">
        <f>ROUND('[1]表6资金使用成效（预算执行率）原稿'!K109,2)</f>
        <v>#REF!</v>
      </c>
      <c r="L80" s="98" t="e">
        <f t="shared" si="472"/>
        <v>#REF!</v>
      </c>
    </row>
    <row r="81" ht="14.25">
      <c r="A81" s="103" t="s">
        <v>323</v>
      </c>
      <c r="B81" s="103" t="s">
        <v>158</v>
      </c>
      <c r="C81" s="104" t="e">
        <f>ROUND('[1]表6资金使用成效（预算执行率）原稿'!C110,2)</f>
        <v>#REF!</v>
      </c>
      <c r="D81" s="104" t="e">
        <f>ROUND('[1]表6资金使用成效（预算执行率）原稿'!D110,2)</f>
        <v>#REF!</v>
      </c>
      <c r="E81" s="104" t="e">
        <f>ROUND('[1]表6资金使用成效（预算执行率）原稿'!E110,2)</f>
        <v>#REF!</v>
      </c>
      <c r="F81" s="104" t="e">
        <f>ROUND('[1]表6资金使用成效（预算执行率）原稿'!F110,2)</f>
        <v>#REF!</v>
      </c>
      <c r="G81" s="104" t="e">
        <f>ROUND('[1]表6资金使用成效（预算执行率）原稿'!G110,2)</f>
        <v>#REF!</v>
      </c>
      <c r="H81" s="104" t="e">
        <f>ROUND('[1]表6资金使用成效（预算执行率）原稿'!H110,2)</f>
        <v>#REF!</v>
      </c>
      <c r="I81" s="104" t="e">
        <f>ROUND('[1]表6资金使用成效（预算执行率）原稿'!I110,2)</f>
        <v>#REF!</v>
      </c>
      <c r="J81" s="104" t="e">
        <f>ROUND('[1]表6资金使用成效（预算执行率）原稿'!J110,2)</f>
        <v>#REF!</v>
      </c>
      <c r="K81" s="104" t="e">
        <f>ROUND('[1]表6资金使用成效（预算执行率）原稿'!K110,2)</f>
        <v>#REF!</v>
      </c>
      <c r="L81" s="98" t="e">
        <f t="shared" si="472"/>
        <v>#REF!</v>
      </c>
    </row>
    <row r="82" ht="14.25">
      <c r="A82" s="103" t="s">
        <v>324</v>
      </c>
      <c r="B82" s="103" t="s">
        <v>224</v>
      </c>
      <c r="C82" s="104" t="e">
        <f>ROUND('[1]表6资金使用成效（预算执行率）原稿'!C111,2)</f>
        <v>#REF!</v>
      </c>
      <c r="D82" s="104" t="e">
        <f>ROUND('[1]表6资金使用成效（预算执行率）原稿'!D111,2)</f>
        <v>#REF!</v>
      </c>
      <c r="E82" s="104" t="e">
        <f>ROUND('[1]表6资金使用成效（预算执行率）原稿'!E111,2)</f>
        <v>#REF!</v>
      </c>
      <c r="F82" s="104" t="e">
        <f>ROUND('[1]表6资金使用成效（预算执行率）原稿'!F111,2)</f>
        <v>#REF!</v>
      </c>
      <c r="G82" s="104" t="e">
        <f>ROUND('[1]表6资金使用成效（预算执行率）原稿'!G111,2)</f>
        <v>#REF!</v>
      </c>
      <c r="H82" s="104" t="e">
        <f>ROUND('[1]表6资金使用成效（预算执行率）原稿'!H111,2)</f>
        <v>#REF!</v>
      </c>
      <c r="I82" s="104" t="e">
        <f>ROUND('[1]表6资金使用成效（预算执行率）原稿'!I111,2)</f>
        <v>#REF!</v>
      </c>
      <c r="J82" s="104" t="e">
        <f>ROUND('[1]表6资金使用成效（预算执行率）原稿'!J111,2)</f>
        <v>#REF!</v>
      </c>
      <c r="K82" s="104" t="e">
        <f>ROUND('[1]表6资金使用成效（预算执行率）原稿'!K111,2)</f>
        <v>#REF!</v>
      </c>
      <c r="L82" s="98" t="e">
        <f t="shared" si="472"/>
        <v>#REF!</v>
      </c>
    </row>
    <row r="83" ht="14.25">
      <c r="A83" s="103" t="s">
        <v>325</v>
      </c>
      <c r="B83" s="103" t="s">
        <v>75</v>
      </c>
      <c r="C83" s="104" t="e">
        <f>ROUND('[1]表6资金使用成效（预算执行率）原稿'!C112,2)</f>
        <v>#REF!</v>
      </c>
      <c r="D83" s="104" t="e">
        <f>ROUND('[1]表6资金使用成效（预算执行率）原稿'!D112,2)</f>
        <v>#REF!</v>
      </c>
      <c r="E83" s="104" t="e">
        <f>ROUND('[1]表6资金使用成效（预算执行率）原稿'!E112,2)</f>
        <v>#REF!</v>
      </c>
      <c r="F83" s="104" t="e">
        <f>ROUND('[1]表6资金使用成效（预算执行率）原稿'!F112,2)</f>
        <v>#REF!</v>
      </c>
      <c r="G83" s="104" t="e">
        <f>ROUND('[1]表6资金使用成效（预算执行率）原稿'!G112,2)</f>
        <v>#REF!</v>
      </c>
      <c r="H83" s="104" t="e">
        <f>ROUND('[1]表6资金使用成效（预算执行率）原稿'!H112,2)</f>
        <v>#REF!</v>
      </c>
      <c r="I83" s="104" t="e">
        <f>ROUND('[1]表6资金使用成效（预算执行率）原稿'!I112,2)</f>
        <v>#REF!</v>
      </c>
      <c r="J83" s="104" t="e">
        <f>ROUND('[1]表6资金使用成效（预算执行率）原稿'!J112,2)</f>
        <v>#REF!</v>
      </c>
      <c r="K83" s="104" t="e">
        <f>ROUND('[1]表6资金使用成效（预算执行率）原稿'!K112,2)</f>
        <v>#REF!</v>
      </c>
      <c r="L83" s="98" t="e">
        <f t="shared" si="472"/>
        <v>#REF!</v>
      </c>
    </row>
    <row r="84" ht="14.25">
      <c r="A84" s="103" t="s">
        <v>326</v>
      </c>
      <c r="B84" s="103" t="s">
        <v>225</v>
      </c>
      <c r="C84" s="104" t="e">
        <f>ROUND('[1]表6资金使用成效（预算执行率）原稿'!C113,2)</f>
        <v>#REF!</v>
      </c>
      <c r="D84" s="104" t="e">
        <f>ROUND('[1]表6资金使用成效（预算执行率）原稿'!D113,2)</f>
        <v>#REF!</v>
      </c>
      <c r="E84" s="104" t="e">
        <f>ROUND('[1]表6资金使用成效（预算执行率）原稿'!E113,2)</f>
        <v>#REF!</v>
      </c>
      <c r="F84" s="104" t="e">
        <f>ROUND('[1]表6资金使用成效（预算执行率）原稿'!F113,2)</f>
        <v>#REF!</v>
      </c>
      <c r="G84" s="104" t="e">
        <f>ROUND('[1]表6资金使用成效（预算执行率）原稿'!G113,2)</f>
        <v>#REF!</v>
      </c>
      <c r="H84" s="104" t="e">
        <f>ROUND('[1]表6资金使用成效（预算执行率）原稿'!H113,2)</f>
        <v>#REF!</v>
      </c>
      <c r="I84" s="104" t="e">
        <f>ROUND('[1]表6资金使用成效（预算执行率）原稿'!I113,2)</f>
        <v>#REF!</v>
      </c>
      <c r="J84" s="104" t="e">
        <f>ROUND('[1]表6资金使用成效（预算执行率）原稿'!J113,2)</f>
        <v>#REF!</v>
      </c>
      <c r="K84" s="104" t="e">
        <f>ROUND('[1]表6资金使用成效（预算执行率）原稿'!K113,2)</f>
        <v>#REF!</v>
      </c>
      <c r="L84" s="98" t="e">
        <f t="shared" si="472"/>
        <v>#REF!</v>
      </c>
    </row>
    <row r="85" ht="14.25">
      <c r="A85" s="103" t="s">
        <v>327</v>
      </c>
      <c r="B85" s="103" t="s">
        <v>226</v>
      </c>
      <c r="C85" s="104" t="e">
        <f>ROUND('[1]表6资金使用成效（预算执行率）原稿'!C114,2)</f>
        <v>#REF!</v>
      </c>
      <c r="D85" s="104" t="e">
        <f>ROUND('[1]表6资金使用成效（预算执行率）原稿'!D114,2)</f>
        <v>#REF!</v>
      </c>
      <c r="E85" s="104" t="e">
        <f>ROUND('[1]表6资金使用成效（预算执行率）原稿'!E114,2)</f>
        <v>#REF!</v>
      </c>
      <c r="F85" s="104" t="e">
        <f>ROUND('[1]表6资金使用成效（预算执行率）原稿'!F114,2)</f>
        <v>#REF!</v>
      </c>
      <c r="G85" s="104" t="e">
        <f>ROUND('[1]表6资金使用成效（预算执行率）原稿'!G114,2)</f>
        <v>#REF!</v>
      </c>
      <c r="H85" s="104" t="e">
        <f>ROUND('[1]表6资金使用成效（预算执行率）原稿'!H114,2)</f>
        <v>#REF!</v>
      </c>
      <c r="I85" s="104" t="e">
        <f>ROUND('[1]表6资金使用成效（预算执行率）原稿'!I114,2)</f>
        <v>#REF!</v>
      </c>
      <c r="J85" s="104" t="e">
        <f>ROUND('[1]表6资金使用成效（预算执行率）原稿'!J114,2)</f>
        <v>#REF!</v>
      </c>
      <c r="K85" s="104" t="e">
        <f>ROUND('[1]表6资金使用成效（预算执行率）原稿'!K114,2)</f>
        <v>#REF!</v>
      </c>
      <c r="L85" s="98" t="e">
        <f t="shared" si="472"/>
        <v>#REF!</v>
      </c>
    </row>
    <row r="86" ht="14.25">
      <c r="A86" s="103" t="s">
        <v>328</v>
      </c>
      <c r="B86" s="103" t="s">
        <v>227</v>
      </c>
      <c r="C86" s="104" t="e">
        <f>ROUND('[1]表6资金使用成效（预算执行率）原稿'!C115,2)</f>
        <v>#REF!</v>
      </c>
      <c r="D86" s="104" t="e">
        <f>ROUND('[1]表6资金使用成效（预算执行率）原稿'!D115,2)</f>
        <v>#REF!</v>
      </c>
      <c r="E86" s="104" t="e">
        <f>ROUND('[1]表6资金使用成效（预算执行率）原稿'!E115,2)</f>
        <v>#REF!</v>
      </c>
      <c r="F86" s="104" t="e">
        <f>ROUND('[1]表6资金使用成效（预算执行率）原稿'!F115,2)</f>
        <v>#REF!</v>
      </c>
      <c r="G86" s="104" t="e">
        <f>ROUND('[1]表6资金使用成效（预算执行率）原稿'!G115,2)</f>
        <v>#REF!</v>
      </c>
      <c r="H86" s="104" t="e">
        <f>ROUND('[1]表6资金使用成效（预算执行率）原稿'!H115,2)</f>
        <v>#REF!</v>
      </c>
      <c r="I86" s="104" t="e">
        <f>ROUND('[1]表6资金使用成效（预算执行率）原稿'!I115,2)</f>
        <v>#REF!</v>
      </c>
      <c r="J86" s="104" t="e">
        <f>ROUND('[1]表6资金使用成效（预算执行率）原稿'!J115,2)</f>
        <v>#REF!</v>
      </c>
      <c r="K86" s="104" t="e">
        <f>ROUND('[1]表6资金使用成效（预算执行率）原稿'!K115,2)</f>
        <v>#REF!</v>
      </c>
      <c r="L86" s="98" t="e">
        <f t="shared" si="472"/>
        <v>#REF!</v>
      </c>
    </row>
    <row r="87" ht="14.25">
      <c r="A87" s="103" t="s">
        <v>329</v>
      </c>
      <c r="B87" s="103" t="s">
        <v>228</v>
      </c>
      <c r="C87" s="104" t="e">
        <f>ROUND('[1]表6资金使用成效（预算执行率）原稿'!C116,2)</f>
        <v>#REF!</v>
      </c>
      <c r="D87" s="104" t="e">
        <f>ROUND('[1]表6资金使用成效（预算执行率）原稿'!D116,2)</f>
        <v>#REF!</v>
      </c>
      <c r="E87" s="104" t="e">
        <f>ROUND('[1]表6资金使用成效（预算执行率）原稿'!E116,2)</f>
        <v>#REF!</v>
      </c>
      <c r="F87" s="104" t="e">
        <f>ROUND('[1]表6资金使用成效（预算执行率）原稿'!F116,2)</f>
        <v>#REF!</v>
      </c>
      <c r="G87" s="104" t="e">
        <f>ROUND('[1]表6资金使用成效（预算执行率）原稿'!G116,2)</f>
        <v>#REF!</v>
      </c>
      <c r="H87" s="104" t="e">
        <f>ROUND('[1]表6资金使用成效（预算执行率）原稿'!H116,2)</f>
        <v>#REF!</v>
      </c>
      <c r="I87" s="104" t="e">
        <f>ROUND('[1]表6资金使用成效（预算执行率）原稿'!I116,2)</f>
        <v>#REF!</v>
      </c>
      <c r="J87" s="104" t="e">
        <f>ROUND('[1]表6资金使用成效（预算执行率）原稿'!J116,2)</f>
        <v>#REF!</v>
      </c>
      <c r="K87" s="104" t="e">
        <f>ROUND('[1]表6资金使用成效（预算执行率）原稿'!K116,2)</f>
        <v>#REF!</v>
      </c>
      <c r="L87" s="98" t="e">
        <f t="shared" si="472"/>
        <v>#REF!</v>
      </c>
    </row>
    <row r="88" ht="14.25">
      <c r="A88" s="103" t="s">
        <v>330</v>
      </c>
      <c r="B88" s="103" t="s">
        <v>229</v>
      </c>
      <c r="C88" s="104" t="e">
        <f>ROUND('[1]表6资金使用成效（预算执行率）原稿'!C117,2)</f>
        <v>#REF!</v>
      </c>
      <c r="D88" s="104" t="e">
        <f>ROUND('[1]表6资金使用成效（预算执行率）原稿'!D117,2)</f>
        <v>#REF!</v>
      </c>
      <c r="E88" s="104" t="e">
        <f>ROUND('[1]表6资金使用成效（预算执行率）原稿'!E117,2)</f>
        <v>#REF!</v>
      </c>
      <c r="F88" s="104" t="e">
        <f>ROUND('[1]表6资金使用成效（预算执行率）原稿'!F117,2)</f>
        <v>#REF!</v>
      </c>
      <c r="G88" s="104" t="e">
        <f>ROUND('[1]表6资金使用成效（预算执行率）原稿'!G117,2)</f>
        <v>#REF!</v>
      </c>
      <c r="H88" s="104" t="e">
        <f>ROUND('[1]表6资金使用成效（预算执行率）原稿'!H117,2)</f>
        <v>#REF!</v>
      </c>
      <c r="I88" s="104" t="e">
        <f>ROUND('[1]表6资金使用成效（预算执行率）原稿'!I117,2)</f>
        <v>#REF!</v>
      </c>
      <c r="J88" s="104" t="e">
        <f>ROUND('[1]表6资金使用成效（预算执行率）原稿'!J117,2)</f>
        <v>#REF!</v>
      </c>
      <c r="K88" s="104" t="e">
        <f>ROUND('[1]表6资金使用成效（预算执行率）原稿'!K117,2)</f>
        <v>#REF!</v>
      </c>
      <c r="L88" s="98" t="e">
        <f t="shared" si="472"/>
        <v>#REF!</v>
      </c>
    </row>
    <row r="89" ht="14.25">
      <c r="A89" s="103" t="s">
        <v>331</v>
      </c>
      <c r="B89" s="103" t="s">
        <v>230</v>
      </c>
      <c r="C89" s="104" t="e">
        <f>ROUND('[1]表6资金使用成效（预算执行率）原稿'!C118,2)</f>
        <v>#REF!</v>
      </c>
      <c r="D89" s="104" t="e">
        <f>ROUND('[1]表6资金使用成效（预算执行率）原稿'!D118,2)</f>
        <v>#REF!</v>
      </c>
      <c r="E89" s="104" t="e">
        <f>ROUND('[1]表6资金使用成效（预算执行率）原稿'!E118,2)</f>
        <v>#REF!</v>
      </c>
      <c r="F89" s="104" t="e">
        <f>ROUND('[1]表6资金使用成效（预算执行率）原稿'!F118,2)</f>
        <v>#REF!</v>
      </c>
      <c r="G89" s="104" t="e">
        <f>ROUND('[1]表6资金使用成效（预算执行率）原稿'!G118,2)</f>
        <v>#REF!</v>
      </c>
      <c r="H89" s="104" t="e">
        <f>ROUND('[1]表6资金使用成效（预算执行率）原稿'!H118,2)</f>
        <v>#REF!</v>
      </c>
      <c r="I89" s="104" t="e">
        <f>ROUND('[1]表6资金使用成效（预算执行率）原稿'!I118,2)</f>
        <v>#REF!</v>
      </c>
      <c r="J89" s="104" t="e">
        <f>ROUND('[1]表6资金使用成效（预算执行率）原稿'!J118,2)</f>
        <v>#REF!</v>
      </c>
      <c r="K89" s="104" t="e">
        <f>ROUND('[1]表6资金使用成效（预算执行率）原稿'!K118,2)</f>
        <v>#REF!</v>
      </c>
      <c r="L89" s="98" t="e">
        <f t="shared" si="472"/>
        <v>#REF!</v>
      </c>
    </row>
    <row r="90" ht="14.25">
      <c r="A90" s="103" t="s">
        <v>332</v>
      </c>
      <c r="B90" s="103" t="s">
        <v>231</v>
      </c>
      <c r="C90" s="104" t="e">
        <f>ROUND('[1]表6资金使用成效（预算执行率）原稿'!C119,2)</f>
        <v>#REF!</v>
      </c>
      <c r="D90" s="104" t="e">
        <f>ROUND('[1]表6资金使用成效（预算执行率）原稿'!D119,2)</f>
        <v>#REF!</v>
      </c>
      <c r="E90" s="104" t="e">
        <f>ROUND('[1]表6资金使用成效（预算执行率）原稿'!E119,2)</f>
        <v>#REF!</v>
      </c>
      <c r="F90" s="104" t="e">
        <f>ROUND('[1]表6资金使用成效（预算执行率）原稿'!F119,2)</f>
        <v>#REF!</v>
      </c>
      <c r="G90" s="104" t="e">
        <f>ROUND('[1]表6资金使用成效（预算执行率）原稿'!G119,2)</f>
        <v>#REF!</v>
      </c>
      <c r="H90" s="104" t="e">
        <f>ROUND('[1]表6资金使用成效（预算执行率）原稿'!H119,2)</f>
        <v>#REF!</v>
      </c>
      <c r="I90" s="104" t="e">
        <f>ROUND('[1]表6资金使用成效（预算执行率）原稿'!I119,2)</f>
        <v>#REF!</v>
      </c>
      <c r="J90" s="104" t="e">
        <f>ROUND('[1]表6资金使用成效（预算执行率）原稿'!J119,2)</f>
        <v>#REF!</v>
      </c>
      <c r="K90" s="104" t="e">
        <f>ROUND('[1]表6资金使用成效（预算执行率）原稿'!K119,2)</f>
        <v>#REF!</v>
      </c>
      <c r="L90" s="98" t="e">
        <f t="shared" si="472"/>
        <v>#REF!</v>
      </c>
    </row>
    <row r="91" ht="14.25">
      <c r="A91" s="103" t="s">
        <v>333</v>
      </c>
      <c r="B91" s="103" t="s">
        <v>166</v>
      </c>
      <c r="C91" s="104" t="e">
        <f>ROUND('[1]表6资金使用成效（预算执行率）原稿'!C120,2)</f>
        <v>#REF!</v>
      </c>
      <c r="D91" s="104" t="e">
        <f>ROUND('[1]表6资金使用成效（预算执行率）原稿'!D120,2)</f>
        <v>#REF!</v>
      </c>
      <c r="E91" s="104" t="e">
        <f>ROUND('[1]表6资金使用成效（预算执行率）原稿'!E120,2)</f>
        <v>#REF!</v>
      </c>
      <c r="F91" s="104" t="e">
        <f>ROUND('[1]表6资金使用成效（预算执行率）原稿'!F120,2)</f>
        <v>#REF!</v>
      </c>
      <c r="G91" s="104" t="e">
        <f>ROUND('[1]表6资金使用成效（预算执行率）原稿'!G120,2)</f>
        <v>#REF!</v>
      </c>
      <c r="H91" s="104" t="e">
        <f>ROUND('[1]表6资金使用成效（预算执行率）原稿'!H120,2)</f>
        <v>#REF!</v>
      </c>
      <c r="I91" s="104" t="e">
        <f>ROUND('[1]表6资金使用成效（预算执行率）原稿'!I120,2)</f>
        <v>#REF!</v>
      </c>
      <c r="J91" s="104" t="e">
        <f>ROUND('[1]表6资金使用成效（预算执行率）原稿'!J120,2)</f>
        <v>#REF!</v>
      </c>
      <c r="K91" s="104" t="e">
        <f>ROUND('[1]表6资金使用成效（预算执行率）原稿'!K120,2)</f>
        <v>#REF!</v>
      </c>
      <c r="L91" s="98" t="e">
        <f t="shared" si="472"/>
        <v>#REF!</v>
      </c>
    </row>
    <row r="92" ht="14.25">
      <c r="A92" s="103" t="s">
        <v>334</v>
      </c>
      <c r="B92" s="103" t="s">
        <v>167</v>
      </c>
      <c r="C92" s="104" t="e">
        <f>ROUND('[1]表6资金使用成效（预算执行率）原稿'!C121,2)</f>
        <v>#REF!</v>
      </c>
      <c r="D92" s="104" t="e">
        <f>ROUND('[1]表6资金使用成效（预算执行率）原稿'!D121,2)</f>
        <v>#REF!</v>
      </c>
      <c r="E92" s="104" t="e">
        <f>ROUND('[1]表6资金使用成效（预算执行率）原稿'!E121,2)</f>
        <v>#REF!</v>
      </c>
      <c r="F92" s="104" t="e">
        <f>ROUND('[1]表6资金使用成效（预算执行率）原稿'!F121,2)</f>
        <v>#REF!</v>
      </c>
      <c r="G92" s="104" t="e">
        <f>ROUND('[1]表6资金使用成效（预算执行率）原稿'!G121,2)</f>
        <v>#REF!</v>
      </c>
      <c r="H92" s="104" t="e">
        <f>ROUND('[1]表6资金使用成效（预算执行率）原稿'!H121,2)</f>
        <v>#REF!</v>
      </c>
      <c r="I92" s="104" t="e">
        <f>ROUND('[1]表6资金使用成效（预算执行率）原稿'!I121,2)</f>
        <v>#REF!</v>
      </c>
      <c r="J92" s="104" t="e">
        <f>ROUND('[1]表6资金使用成效（预算执行率）原稿'!J121,2)</f>
        <v>#REF!</v>
      </c>
      <c r="K92" s="104" t="e">
        <f>ROUND('[1]表6资金使用成效（预算执行率）原稿'!K121,2)</f>
        <v>#REF!</v>
      </c>
      <c r="L92" s="98" t="e">
        <f t="shared" si="472"/>
        <v>#REF!</v>
      </c>
    </row>
    <row r="93" ht="14.25">
      <c r="A93" s="103" t="s">
        <v>335</v>
      </c>
      <c r="B93" s="103" t="s">
        <v>168</v>
      </c>
      <c r="C93" s="104" t="e">
        <f>ROUND('[1]表6资金使用成效（预算执行率）原稿'!C122,2)</f>
        <v>#REF!</v>
      </c>
      <c r="D93" s="104" t="e">
        <f>ROUND('[1]表6资金使用成效（预算执行率）原稿'!D122,2)</f>
        <v>#REF!</v>
      </c>
      <c r="E93" s="104" t="e">
        <f>ROUND('[1]表6资金使用成效（预算执行率）原稿'!E122,2)</f>
        <v>#REF!</v>
      </c>
      <c r="F93" s="104" t="e">
        <f>ROUND('[1]表6资金使用成效（预算执行率）原稿'!F122,2)</f>
        <v>#REF!</v>
      </c>
      <c r="G93" s="104" t="e">
        <f>ROUND('[1]表6资金使用成效（预算执行率）原稿'!G122,2)</f>
        <v>#REF!</v>
      </c>
      <c r="H93" s="104" t="e">
        <f>ROUND('[1]表6资金使用成效（预算执行率）原稿'!H122,2)</f>
        <v>#REF!</v>
      </c>
      <c r="I93" s="104" t="e">
        <f>ROUND('[1]表6资金使用成效（预算执行率）原稿'!I122,2)</f>
        <v>#REF!</v>
      </c>
      <c r="J93" s="104" t="e">
        <f>ROUND('[1]表6资金使用成效（预算执行率）原稿'!J122,2)</f>
        <v>#REF!</v>
      </c>
      <c r="K93" s="104" t="e">
        <f>ROUND('[1]表6资金使用成效（预算执行率）原稿'!K122,2)</f>
        <v>#REF!</v>
      </c>
      <c r="L93" s="98" t="e">
        <f t="shared" si="472"/>
        <v>#REF!</v>
      </c>
    </row>
    <row r="94" ht="14.25">
      <c r="A94" s="103" t="s">
        <v>336</v>
      </c>
      <c r="B94" s="103" t="s">
        <v>77</v>
      </c>
      <c r="C94" s="104" t="e">
        <f>ROUND('[1]表6资金使用成效（预算执行率）原稿'!C123,2)</f>
        <v>#REF!</v>
      </c>
      <c r="D94" s="104" t="e">
        <f>ROUND('[1]表6资金使用成效（预算执行率）原稿'!D123,2)</f>
        <v>#REF!</v>
      </c>
      <c r="E94" s="104" t="e">
        <f>ROUND('[1]表6资金使用成效（预算执行率）原稿'!E123,2)</f>
        <v>#REF!</v>
      </c>
      <c r="F94" s="104" t="e">
        <f>ROUND('[1]表6资金使用成效（预算执行率）原稿'!F123,2)</f>
        <v>#REF!</v>
      </c>
      <c r="G94" s="104" t="e">
        <f>ROUND('[1]表6资金使用成效（预算执行率）原稿'!G123,2)</f>
        <v>#REF!</v>
      </c>
      <c r="H94" s="104" t="e">
        <f>ROUND('[1]表6资金使用成效（预算执行率）原稿'!H123,2)</f>
        <v>#REF!</v>
      </c>
      <c r="I94" s="104" t="e">
        <f>ROUND('[1]表6资金使用成效（预算执行率）原稿'!I123,2)</f>
        <v>#REF!</v>
      </c>
      <c r="J94" s="104" t="e">
        <f>ROUND('[1]表6资金使用成效（预算执行率）原稿'!J123,2)</f>
        <v>#REF!</v>
      </c>
      <c r="K94" s="104" t="e">
        <f>ROUND('[1]表6资金使用成效（预算执行率）原稿'!K123,2)</f>
        <v>#REF!</v>
      </c>
      <c r="L94" s="98" t="e">
        <f t="shared" si="472"/>
        <v>#REF!</v>
      </c>
    </row>
    <row r="95" ht="14.25">
      <c r="A95" s="103" t="s">
        <v>337</v>
      </c>
      <c r="B95" s="103" t="s">
        <v>169</v>
      </c>
      <c r="C95" s="104" t="e">
        <f>ROUND('[1]表6资金使用成效（预算执行率）原稿'!C124,2)</f>
        <v>#REF!</v>
      </c>
      <c r="D95" s="104" t="e">
        <f>ROUND('[1]表6资金使用成效（预算执行率）原稿'!D124,2)</f>
        <v>#REF!</v>
      </c>
      <c r="E95" s="104" t="e">
        <f>ROUND('[1]表6资金使用成效（预算执行率）原稿'!E124,2)</f>
        <v>#REF!</v>
      </c>
      <c r="F95" s="104" t="e">
        <f>ROUND('[1]表6资金使用成效（预算执行率）原稿'!F124,2)</f>
        <v>#REF!</v>
      </c>
      <c r="G95" s="104" t="e">
        <f>ROUND('[1]表6资金使用成效（预算执行率）原稿'!G124,2)</f>
        <v>#REF!</v>
      </c>
      <c r="H95" s="104" t="e">
        <f>ROUND('[1]表6资金使用成效（预算执行率）原稿'!H124,2)</f>
        <v>#REF!</v>
      </c>
      <c r="I95" s="104" t="e">
        <f>ROUND('[1]表6资金使用成效（预算执行率）原稿'!I124,2)</f>
        <v>#REF!</v>
      </c>
      <c r="J95" s="104" t="e">
        <f>ROUND('[1]表6资金使用成效（预算执行率）原稿'!J124,2)</f>
        <v>#REF!</v>
      </c>
      <c r="K95" s="104" t="e">
        <f>ROUND('[1]表6资金使用成效（预算执行率）原稿'!K124,2)</f>
        <v>#REF!</v>
      </c>
      <c r="L95" s="98" t="e">
        <f t="shared" si="472"/>
        <v>#REF!</v>
      </c>
    </row>
    <row r="96" ht="14.25">
      <c r="A96" s="103" t="s">
        <v>338</v>
      </c>
      <c r="B96" s="103" t="s">
        <v>170</v>
      </c>
      <c r="C96" s="104" t="e">
        <f>ROUND('[1]表6资金使用成效（预算执行率）原稿'!C125,2)</f>
        <v>#REF!</v>
      </c>
      <c r="D96" s="104" t="e">
        <f>ROUND('[1]表6资金使用成效（预算执行率）原稿'!D125,2)</f>
        <v>#REF!</v>
      </c>
      <c r="E96" s="104" t="e">
        <f>ROUND('[1]表6资金使用成效（预算执行率）原稿'!E125,2)</f>
        <v>#REF!</v>
      </c>
      <c r="F96" s="104" t="e">
        <f>ROUND('[1]表6资金使用成效（预算执行率）原稿'!F125,2)</f>
        <v>#REF!</v>
      </c>
      <c r="G96" s="104" t="e">
        <f>ROUND('[1]表6资金使用成效（预算执行率）原稿'!G125,2)</f>
        <v>#REF!</v>
      </c>
      <c r="H96" s="104" t="e">
        <f>ROUND('[1]表6资金使用成效（预算执行率）原稿'!H125,2)</f>
        <v>#REF!</v>
      </c>
      <c r="I96" s="104" t="e">
        <f>ROUND('[1]表6资金使用成效（预算执行率）原稿'!I125,2)</f>
        <v>#REF!</v>
      </c>
      <c r="J96" s="104" t="e">
        <f>ROUND('[1]表6资金使用成效（预算执行率）原稿'!J125,2)</f>
        <v>#REF!</v>
      </c>
      <c r="K96" s="104" t="e">
        <f>ROUND('[1]表6资金使用成效（预算执行率）原稿'!K125,2)</f>
        <v>#REF!</v>
      </c>
      <c r="L96" s="98" t="e">
        <f t="shared" si="472"/>
        <v>#REF!</v>
      </c>
    </row>
    <row r="97" ht="14.25">
      <c r="A97" s="103" t="s">
        <v>339</v>
      </c>
      <c r="B97" s="103" t="s">
        <v>171</v>
      </c>
      <c r="C97" s="104" t="e">
        <f>ROUND('[1]表6资金使用成效（预算执行率）原稿'!C126,2)</f>
        <v>#REF!</v>
      </c>
      <c r="D97" s="104" t="e">
        <f>ROUND('[1]表6资金使用成效（预算执行率）原稿'!D126,2)</f>
        <v>#REF!</v>
      </c>
      <c r="E97" s="104" t="e">
        <f>ROUND('[1]表6资金使用成效（预算执行率）原稿'!E126,2)</f>
        <v>#REF!</v>
      </c>
      <c r="F97" s="104" t="e">
        <f>ROUND('[1]表6资金使用成效（预算执行率）原稿'!F126,2)</f>
        <v>#REF!</v>
      </c>
      <c r="G97" s="104" t="e">
        <f>ROUND('[1]表6资金使用成效（预算执行率）原稿'!G126,2)</f>
        <v>#REF!</v>
      </c>
      <c r="H97" s="104" t="e">
        <f>ROUND('[1]表6资金使用成效（预算执行率）原稿'!H126,2)</f>
        <v>#REF!</v>
      </c>
      <c r="I97" s="104" t="e">
        <f>ROUND('[1]表6资金使用成效（预算执行率）原稿'!I126,2)</f>
        <v>#REF!</v>
      </c>
      <c r="J97" s="104" t="e">
        <f>ROUND('[1]表6资金使用成效（预算执行率）原稿'!J126,2)</f>
        <v>#REF!</v>
      </c>
      <c r="K97" s="104" t="e">
        <f>ROUND('[1]表6资金使用成效（预算执行率）原稿'!K126,2)</f>
        <v>#REF!</v>
      </c>
      <c r="L97" s="98" t="e">
        <f t="shared" si="472"/>
        <v>#REF!</v>
      </c>
    </row>
    <row r="98" ht="14.25">
      <c r="A98" s="103" t="s">
        <v>340</v>
      </c>
      <c r="B98" s="103" t="s">
        <v>172</v>
      </c>
      <c r="C98" s="104" t="e">
        <f>ROUND('[1]表6资金使用成效（预算执行率）原稿'!C127,2)</f>
        <v>#REF!</v>
      </c>
      <c r="D98" s="104" t="e">
        <f>ROUND('[1]表6资金使用成效（预算执行率）原稿'!D127,2)</f>
        <v>#REF!</v>
      </c>
      <c r="E98" s="104" t="e">
        <f>ROUND('[1]表6资金使用成效（预算执行率）原稿'!E127,2)</f>
        <v>#REF!</v>
      </c>
      <c r="F98" s="104" t="e">
        <f>ROUND('[1]表6资金使用成效（预算执行率）原稿'!F127,2)</f>
        <v>#REF!</v>
      </c>
      <c r="G98" s="104" t="e">
        <f>ROUND('[1]表6资金使用成效（预算执行率）原稿'!G127,2)</f>
        <v>#REF!</v>
      </c>
      <c r="H98" s="104" t="e">
        <f>ROUND('[1]表6资金使用成效（预算执行率）原稿'!H127,2)</f>
        <v>#REF!</v>
      </c>
      <c r="I98" s="104" t="e">
        <f>ROUND('[1]表6资金使用成效（预算执行率）原稿'!I127,2)</f>
        <v>#REF!</v>
      </c>
      <c r="J98" s="104" t="e">
        <f>ROUND('[1]表6资金使用成效（预算执行率）原稿'!J127,2)</f>
        <v>#REF!</v>
      </c>
      <c r="K98" s="104" t="e">
        <f>ROUND('[1]表6资金使用成效（预算执行率）原稿'!K127,2)</f>
        <v>#REF!</v>
      </c>
      <c r="L98" s="98" t="e">
        <f t="shared" si="472"/>
        <v>#REF!</v>
      </c>
    </row>
    <row r="99" ht="14.25">
      <c r="A99" s="103" t="s">
        <v>341</v>
      </c>
      <c r="B99" s="103" t="s">
        <v>173</v>
      </c>
      <c r="C99" s="104" t="e">
        <f>ROUND('[1]表6资金使用成效（预算执行率）原稿'!C128,2)</f>
        <v>#REF!</v>
      </c>
      <c r="D99" s="104" t="e">
        <f>ROUND('[1]表6资金使用成效（预算执行率）原稿'!D128,2)</f>
        <v>#REF!</v>
      </c>
      <c r="E99" s="104" t="e">
        <f>ROUND('[1]表6资金使用成效（预算执行率）原稿'!E128,2)</f>
        <v>#REF!</v>
      </c>
      <c r="F99" s="104" t="e">
        <f>ROUND('[1]表6资金使用成效（预算执行率）原稿'!F128,2)</f>
        <v>#REF!</v>
      </c>
      <c r="G99" s="104" t="e">
        <f>ROUND('[1]表6资金使用成效（预算执行率）原稿'!G128,2)</f>
        <v>#REF!</v>
      </c>
      <c r="H99" s="104" t="e">
        <f>ROUND('[1]表6资金使用成效（预算执行率）原稿'!H128,2)</f>
        <v>#REF!</v>
      </c>
      <c r="I99" s="104" t="e">
        <f>ROUND('[1]表6资金使用成效（预算执行率）原稿'!I128,2)</f>
        <v>#REF!</v>
      </c>
      <c r="J99" s="104" t="e">
        <f>ROUND('[1]表6资金使用成效（预算执行率）原稿'!J128,2)</f>
        <v>#REF!</v>
      </c>
      <c r="K99" s="104" t="e">
        <f>ROUND('[1]表6资金使用成效（预算执行率）原稿'!K128,2)</f>
        <v>#REF!</v>
      </c>
      <c r="L99" s="98" t="e">
        <f t="shared" si="472"/>
        <v>#REF!</v>
      </c>
    </row>
    <row r="100" ht="14.25">
      <c r="A100" s="103" t="s">
        <v>342</v>
      </c>
      <c r="B100" s="103" t="s">
        <v>174</v>
      </c>
      <c r="C100" s="104" t="e">
        <f>ROUND('[1]表6资金使用成效（预算执行率）原稿'!C129,2)</f>
        <v>#REF!</v>
      </c>
      <c r="D100" s="104" t="e">
        <f>ROUND('[1]表6资金使用成效（预算执行率）原稿'!D129,2)</f>
        <v>#REF!</v>
      </c>
      <c r="E100" s="104" t="e">
        <f>ROUND('[1]表6资金使用成效（预算执行率）原稿'!E129,2)</f>
        <v>#REF!</v>
      </c>
      <c r="F100" s="104" t="e">
        <f>ROUND('[1]表6资金使用成效（预算执行率）原稿'!F129,2)</f>
        <v>#REF!</v>
      </c>
      <c r="G100" s="104" t="e">
        <f>ROUND('[1]表6资金使用成效（预算执行率）原稿'!G129,2)</f>
        <v>#REF!</v>
      </c>
      <c r="H100" s="104" t="e">
        <f>ROUND('[1]表6资金使用成效（预算执行率）原稿'!H129,2)</f>
        <v>#REF!</v>
      </c>
      <c r="I100" s="104" t="e">
        <f>ROUND('[1]表6资金使用成效（预算执行率）原稿'!I129,2)</f>
        <v>#REF!</v>
      </c>
      <c r="J100" s="104" t="e">
        <f>ROUND('[1]表6资金使用成效（预算执行率）原稿'!J129,2)</f>
        <v>#REF!</v>
      </c>
      <c r="K100" s="104" t="e">
        <f>ROUND('[1]表6资金使用成效（预算执行率）原稿'!K129,2)</f>
        <v>#REF!</v>
      </c>
      <c r="L100" s="98" t="e">
        <f t="shared" si="472"/>
        <v>#REF!</v>
      </c>
    </row>
    <row r="101" ht="14.25">
      <c r="A101" s="103" t="s">
        <v>343</v>
      </c>
      <c r="B101" s="103" t="s">
        <v>175</v>
      </c>
      <c r="C101" s="104" t="e">
        <f>ROUND('[1]表6资金使用成效（预算执行率）原稿'!C130,2)</f>
        <v>#REF!</v>
      </c>
      <c r="D101" s="104" t="e">
        <f>ROUND('[1]表6资金使用成效（预算执行率）原稿'!D130,2)</f>
        <v>#REF!</v>
      </c>
      <c r="E101" s="104" t="e">
        <f>ROUND('[1]表6资金使用成效（预算执行率）原稿'!E130,2)</f>
        <v>#REF!</v>
      </c>
      <c r="F101" s="104" t="e">
        <f>ROUND('[1]表6资金使用成效（预算执行率）原稿'!F130,2)</f>
        <v>#REF!</v>
      </c>
      <c r="G101" s="104" t="e">
        <f>ROUND('[1]表6资金使用成效（预算执行率）原稿'!G130,2)</f>
        <v>#REF!</v>
      </c>
      <c r="H101" s="104" t="e">
        <f>ROUND('[1]表6资金使用成效（预算执行率）原稿'!H130,2)</f>
        <v>#REF!</v>
      </c>
      <c r="I101" s="104" t="e">
        <f>ROUND('[1]表6资金使用成效（预算执行率）原稿'!I130,2)</f>
        <v>#REF!</v>
      </c>
      <c r="J101" s="104" t="e">
        <f>ROUND('[1]表6资金使用成效（预算执行率）原稿'!J130,2)</f>
        <v>#REF!</v>
      </c>
      <c r="K101" s="104" t="e">
        <f>ROUND('[1]表6资金使用成效（预算执行率）原稿'!K130,2)</f>
        <v>#REF!</v>
      </c>
      <c r="L101" s="98" t="e">
        <f t="shared" si="472"/>
        <v>#REF!</v>
      </c>
    </row>
    <row r="102" ht="14.25">
      <c r="A102" s="103" t="s">
        <v>344</v>
      </c>
      <c r="B102" s="103" t="s">
        <v>123</v>
      </c>
      <c r="C102" s="104" t="e">
        <f>ROUND('[1]表6资金使用成效（预算执行率）原稿'!C131,2)</f>
        <v>#REF!</v>
      </c>
      <c r="D102" s="104" t="e">
        <f>ROUND('[1]表6资金使用成效（预算执行率）原稿'!D131,2)</f>
        <v>#REF!</v>
      </c>
      <c r="E102" s="104" t="e">
        <f>ROUND('[1]表6资金使用成效（预算执行率）原稿'!E131,2)</f>
        <v>#REF!</v>
      </c>
      <c r="F102" s="104" t="e">
        <f>ROUND('[1]表6资金使用成效（预算执行率）原稿'!F131,2)</f>
        <v>#REF!</v>
      </c>
      <c r="G102" s="104" t="e">
        <f>ROUND('[1]表6资金使用成效（预算执行率）原稿'!G131,2)</f>
        <v>#REF!</v>
      </c>
      <c r="H102" s="104" t="e">
        <f>ROUND('[1]表6资金使用成效（预算执行率）原稿'!H131,2)</f>
        <v>#REF!</v>
      </c>
      <c r="I102" s="104" t="e">
        <f>ROUND('[1]表6资金使用成效（预算执行率）原稿'!I131,2)</f>
        <v>#REF!</v>
      </c>
      <c r="J102" s="104" t="e">
        <f>ROUND('[1]表6资金使用成效（预算执行率）原稿'!J131,2)</f>
        <v>#REF!</v>
      </c>
      <c r="K102" s="104" t="e">
        <f>ROUND('[1]表6资金使用成效（预算执行率）原稿'!K131,2)</f>
        <v>#REF!</v>
      </c>
      <c r="L102" s="98" t="e">
        <f t="shared" si="472"/>
        <v>#REF!</v>
      </c>
    </row>
    <row r="103" ht="14.25">
      <c r="A103" s="103" t="s">
        <v>345</v>
      </c>
      <c r="B103" s="103" t="s">
        <v>124</v>
      </c>
      <c r="C103" s="104" t="e">
        <f>ROUND('[1]表6资金使用成效（预算执行率）原稿'!C132,2)</f>
        <v>#REF!</v>
      </c>
      <c r="D103" s="104" t="e">
        <f>ROUND('[1]表6资金使用成效（预算执行率）原稿'!D132,2)</f>
        <v>#REF!</v>
      </c>
      <c r="E103" s="104" t="e">
        <f>ROUND('[1]表6资金使用成效（预算执行率）原稿'!E132,2)</f>
        <v>#REF!</v>
      </c>
      <c r="F103" s="104" t="e">
        <f>ROUND('[1]表6资金使用成效（预算执行率）原稿'!F132,2)</f>
        <v>#REF!</v>
      </c>
      <c r="G103" s="104" t="e">
        <f>ROUND('[1]表6资金使用成效（预算执行率）原稿'!G132,2)</f>
        <v>#REF!</v>
      </c>
      <c r="H103" s="104" t="e">
        <f>ROUND('[1]表6资金使用成效（预算执行率）原稿'!H132,2)</f>
        <v>#REF!</v>
      </c>
      <c r="I103" s="104" t="e">
        <f>ROUND('[1]表6资金使用成效（预算执行率）原稿'!I132,2)</f>
        <v>#REF!</v>
      </c>
      <c r="J103" s="104" t="e">
        <f>ROUND('[1]表6资金使用成效（预算执行率）原稿'!J132,2)</f>
        <v>#REF!</v>
      </c>
      <c r="K103" s="104" t="e">
        <f>ROUND('[1]表6资金使用成效（预算执行率）原稿'!K132,2)</f>
        <v>#REF!</v>
      </c>
      <c r="L103" s="98" t="e">
        <f t="shared" si="472"/>
        <v>#REF!</v>
      </c>
    </row>
    <row r="104" ht="14.25">
      <c r="A104" s="103" t="s">
        <v>346</v>
      </c>
      <c r="B104" s="103" t="s">
        <v>125</v>
      </c>
      <c r="C104" s="104" t="e">
        <f>ROUND('[1]表6资金使用成效（预算执行率）原稿'!C133,2)</f>
        <v>#REF!</v>
      </c>
      <c r="D104" s="104" t="e">
        <f>ROUND('[1]表6资金使用成效（预算执行率）原稿'!D133,2)</f>
        <v>#REF!</v>
      </c>
      <c r="E104" s="104" t="e">
        <f>ROUND('[1]表6资金使用成效（预算执行率）原稿'!E133,2)</f>
        <v>#REF!</v>
      </c>
      <c r="F104" s="104" t="e">
        <f>ROUND('[1]表6资金使用成效（预算执行率）原稿'!F133,2)</f>
        <v>#REF!</v>
      </c>
      <c r="G104" s="104" t="e">
        <f>ROUND('[1]表6资金使用成效（预算执行率）原稿'!G133,2)</f>
        <v>#REF!</v>
      </c>
      <c r="H104" s="104" t="e">
        <f>ROUND('[1]表6资金使用成效（预算执行率）原稿'!H133,2)</f>
        <v>#REF!</v>
      </c>
      <c r="I104" s="104" t="e">
        <f>ROUND('[1]表6资金使用成效（预算执行率）原稿'!I133,2)</f>
        <v>#REF!</v>
      </c>
      <c r="J104" s="104" t="e">
        <f>ROUND('[1]表6资金使用成效（预算执行率）原稿'!J133,2)</f>
        <v>#REF!</v>
      </c>
      <c r="K104" s="104" t="e">
        <f>ROUND('[1]表6资金使用成效（预算执行率）原稿'!K133,2)</f>
        <v>#REF!</v>
      </c>
      <c r="L104" s="98" t="e">
        <f t="shared" si="472"/>
        <v>#REF!</v>
      </c>
    </row>
    <row r="105" ht="14.25">
      <c r="A105" s="103" t="s">
        <v>347</v>
      </c>
      <c r="B105" s="103" t="s">
        <v>79</v>
      </c>
      <c r="C105" s="104" t="e">
        <f>ROUND('[1]表6资金使用成效（预算执行率）原稿'!C134,2)</f>
        <v>#REF!</v>
      </c>
      <c r="D105" s="104" t="e">
        <f>ROUND('[1]表6资金使用成效（预算执行率）原稿'!D134,2)</f>
        <v>#REF!</v>
      </c>
      <c r="E105" s="104" t="e">
        <f>ROUND('[1]表6资金使用成效（预算执行率）原稿'!E134,2)</f>
        <v>#REF!</v>
      </c>
      <c r="F105" s="104" t="e">
        <f>ROUND('[1]表6资金使用成效（预算执行率）原稿'!F134,2)</f>
        <v>#REF!</v>
      </c>
      <c r="G105" s="104" t="e">
        <f>ROUND('[1]表6资金使用成效（预算执行率）原稿'!G134,2)</f>
        <v>#REF!</v>
      </c>
      <c r="H105" s="104" t="e">
        <f>ROUND('[1]表6资金使用成效（预算执行率）原稿'!H134,2)</f>
        <v>#REF!</v>
      </c>
      <c r="I105" s="104" t="e">
        <f>ROUND('[1]表6资金使用成效（预算执行率）原稿'!I134,2)</f>
        <v>#REF!</v>
      </c>
      <c r="J105" s="104" t="e">
        <f>ROUND('[1]表6资金使用成效（预算执行率）原稿'!J134,2)</f>
        <v>#REF!</v>
      </c>
      <c r="K105" s="104" t="e">
        <f>ROUND('[1]表6资金使用成效（预算执行率）原稿'!K134,2)</f>
        <v>#REF!</v>
      </c>
      <c r="L105" s="98" t="e">
        <f t="shared" si="472"/>
        <v>#REF!</v>
      </c>
    </row>
    <row r="106" ht="14.25">
      <c r="A106" s="103" t="s">
        <v>348</v>
      </c>
      <c r="B106" s="103" t="s">
        <v>126</v>
      </c>
      <c r="C106" s="104" t="e">
        <f>ROUND('[1]表6资金使用成效（预算执行率）原稿'!C135,2)</f>
        <v>#REF!</v>
      </c>
      <c r="D106" s="104" t="e">
        <f>ROUND('[1]表6资金使用成效（预算执行率）原稿'!D135,2)</f>
        <v>#REF!</v>
      </c>
      <c r="E106" s="104" t="e">
        <f>ROUND('[1]表6资金使用成效（预算执行率）原稿'!E135,2)</f>
        <v>#REF!</v>
      </c>
      <c r="F106" s="104" t="e">
        <f>ROUND('[1]表6资金使用成效（预算执行率）原稿'!F135,2)</f>
        <v>#REF!</v>
      </c>
      <c r="G106" s="104" t="e">
        <f>ROUND('[1]表6资金使用成效（预算执行率）原稿'!G135,2)</f>
        <v>#REF!</v>
      </c>
      <c r="H106" s="104" t="e">
        <f>ROUND('[1]表6资金使用成效（预算执行率）原稿'!H135,2)</f>
        <v>#REF!</v>
      </c>
      <c r="I106" s="104" t="e">
        <f>ROUND('[1]表6资金使用成效（预算执行率）原稿'!I135,2)</f>
        <v>#REF!</v>
      </c>
      <c r="J106" s="104" t="e">
        <f>ROUND('[1]表6资金使用成效（预算执行率）原稿'!J135,2)</f>
        <v>#REF!</v>
      </c>
      <c r="K106" s="104" t="e">
        <f>ROUND('[1]表6资金使用成效（预算执行率）原稿'!K135,2)</f>
        <v>#REF!</v>
      </c>
      <c r="L106" s="98" t="e">
        <f t="shared" si="472"/>
        <v>#REF!</v>
      </c>
    </row>
    <row r="107" ht="14.25">
      <c r="A107" s="103" t="s">
        <v>349</v>
      </c>
      <c r="B107" s="103" t="s">
        <v>127</v>
      </c>
      <c r="C107" s="104" t="e">
        <f>ROUND('[1]表6资金使用成效（预算执行率）原稿'!C136,2)</f>
        <v>#REF!</v>
      </c>
      <c r="D107" s="104" t="e">
        <f>ROUND('[1]表6资金使用成效（预算执行率）原稿'!D136,2)</f>
        <v>#REF!</v>
      </c>
      <c r="E107" s="104" t="e">
        <f>ROUND('[1]表6资金使用成效（预算执行率）原稿'!E136,2)</f>
        <v>#REF!</v>
      </c>
      <c r="F107" s="104" t="e">
        <f>ROUND('[1]表6资金使用成效（预算执行率）原稿'!F136,2)</f>
        <v>#REF!</v>
      </c>
      <c r="G107" s="104" t="e">
        <f>ROUND('[1]表6资金使用成效（预算执行率）原稿'!G136,2)</f>
        <v>#REF!</v>
      </c>
      <c r="H107" s="104" t="e">
        <f>ROUND('[1]表6资金使用成效（预算执行率）原稿'!H136,2)</f>
        <v>#REF!</v>
      </c>
      <c r="I107" s="104" t="e">
        <f>ROUND('[1]表6资金使用成效（预算执行率）原稿'!I136,2)</f>
        <v>#REF!</v>
      </c>
      <c r="J107" s="104" t="e">
        <f>ROUND('[1]表6资金使用成效（预算执行率）原稿'!J136,2)</f>
        <v>#REF!</v>
      </c>
      <c r="K107" s="104" t="e">
        <f>ROUND('[1]表6资金使用成效（预算执行率）原稿'!K136,2)</f>
        <v>#REF!</v>
      </c>
      <c r="L107" s="98" t="e">
        <f t="shared" si="472"/>
        <v>#REF!</v>
      </c>
    </row>
    <row r="108" ht="14.25">
      <c r="A108" s="103" t="s">
        <v>350</v>
      </c>
      <c r="B108" s="103" t="s">
        <v>128</v>
      </c>
      <c r="C108" s="104" t="e">
        <f>ROUND('[1]表6资金使用成效（预算执行率）原稿'!C137,2)</f>
        <v>#REF!</v>
      </c>
      <c r="D108" s="104" t="e">
        <f>ROUND('[1]表6资金使用成效（预算执行率）原稿'!D137,2)</f>
        <v>#REF!</v>
      </c>
      <c r="E108" s="104" t="e">
        <f>ROUND('[1]表6资金使用成效（预算执行率）原稿'!E137,2)</f>
        <v>#REF!</v>
      </c>
      <c r="F108" s="104" t="e">
        <f>ROUND('[1]表6资金使用成效（预算执行率）原稿'!F137,2)</f>
        <v>#REF!</v>
      </c>
      <c r="G108" s="104" t="e">
        <f>ROUND('[1]表6资金使用成效（预算执行率）原稿'!G137,2)</f>
        <v>#REF!</v>
      </c>
      <c r="H108" s="104" t="e">
        <f>ROUND('[1]表6资金使用成效（预算执行率）原稿'!H137,2)</f>
        <v>#REF!</v>
      </c>
      <c r="I108" s="104" t="e">
        <f>ROUND('[1]表6资金使用成效（预算执行率）原稿'!I137,2)</f>
        <v>#REF!</v>
      </c>
      <c r="J108" s="104" t="e">
        <f>ROUND('[1]表6资金使用成效（预算执行率）原稿'!J137,2)</f>
        <v>#REF!</v>
      </c>
      <c r="K108" s="104" t="e">
        <f>ROUND('[1]表6资金使用成效（预算执行率）原稿'!K137,2)</f>
        <v>#REF!</v>
      </c>
      <c r="L108" s="98" t="e">
        <f t="shared" si="472"/>
        <v>#REF!</v>
      </c>
    </row>
    <row r="109" ht="14.25">
      <c r="A109" s="103" t="s">
        <v>351</v>
      </c>
      <c r="B109" s="103" t="s">
        <v>129</v>
      </c>
      <c r="C109" s="104" t="e">
        <f>ROUND('[1]表6资金使用成效（预算执行率）原稿'!C138,2)</f>
        <v>#REF!</v>
      </c>
      <c r="D109" s="104" t="e">
        <f>ROUND('[1]表6资金使用成效（预算执行率）原稿'!D138,2)</f>
        <v>#REF!</v>
      </c>
      <c r="E109" s="104" t="e">
        <f>ROUND('[1]表6资金使用成效（预算执行率）原稿'!E138,2)</f>
        <v>#REF!</v>
      </c>
      <c r="F109" s="104" t="e">
        <f>ROUND('[1]表6资金使用成效（预算执行率）原稿'!F138,2)</f>
        <v>#REF!</v>
      </c>
      <c r="G109" s="104" t="e">
        <f>ROUND('[1]表6资金使用成效（预算执行率）原稿'!G138,2)</f>
        <v>#REF!</v>
      </c>
      <c r="H109" s="104" t="e">
        <f>ROUND('[1]表6资金使用成效（预算执行率）原稿'!H138,2)</f>
        <v>#REF!</v>
      </c>
      <c r="I109" s="104" t="e">
        <f>ROUND('[1]表6资金使用成效（预算执行率）原稿'!I138,2)</f>
        <v>#REF!</v>
      </c>
      <c r="J109" s="104" t="e">
        <f>ROUND('[1]表6资金使用成效（预算执行率）原稿'!J138,2)</f>
        <v>#REF!</v>
      </c>
      <c r="K109" s="104" t="e">
        <f>ROUND('[1]表6资金使用成效（预算执行率）原稿'!K138,2)</f>
        <v>#REF!</v>
      </c>
      <c r="L109" s="98" t="e">
        <f t="shared" si="472"/>
        <v>#REF!</v>
      </c>
    </row>
    <row r="110" ht="14.25">
      <c r="A110" s="103" t="s">
        <v>352</v>
      </c>
      <c r="B110" s="103" t="s">
        <v>130</v>
      </c>
      <c r="C110" s="104" t="e">
        <f>ROUND('[1]表6资金使用成效（预算执行率）原稿'!C139,2)</f>
        <v>#REF!</v>
      </c>
      <c r="D110" s="104" t="e">
        <f>ROUND('[1]表6资金使用成效（预算执行率）原稿'!D139,2)</f>
        <v>#REF!</v>
      </c>
      <c r="E110" s="104" t="e">
        <f>ROUND('[1]表6资金使用成效（预算执行率）原稿'!E139,2)</f>
        <v>#REF!</v>
      </c>
      <c r="F110" s="104" t="e">
        <f>ROUND('[1]表6资金使用成效（预算执行率）原稿'!F139,2)</f>
        <v>#REF!</v>
      </c>
      <c r="G110" s="104" t="e">
        <f>ROUND('[1]表6资金使用成效（预算执行率）原稿'!G139,2)</f>
        <v>#REF!</v>
      </c>
      <c r="H110" s="104" t="e">
        <f>ROUND('[1]表6资金使用成效（预算执行率）原稿'!H139,2)</f>
        <v>#REF!</v>
      </c>
      <c r="I110" s="104" t="e">
        <f>ROUND('[1]表6资金使用成效（预算执行率）原稿'!I139,2)</f>
        <v>#REF!</v>
      </c>
      <c r="J110" s="104" t="e">
        <f>ROUND('[1]表6资金使用成效（预算执行率）原稿'!J139,2)</f>
        <v>#REF!</v>
      </c>
      <c r="K110" s="104" t="e">
        <f>ROUND('[1]表6资金使用成效（预算执行率）原稿'!K139,2)</f>
        <v>#REF!</v>
      </c>
      <c r="L110" s="98" t="e">
        <f t="shared" si="472"/>
        <v>#REF!</v>
      </c>
    </row>
    <row r="111" ht="14.25">
      <c r="A111" s="103" t="s">
        <v>353</v>
      </c>
      <c r="B111" s="103" t="s">
        <v>131</v>
      </c>
      <c r="C111" s="104" t="e">
        <f>ROUND('[1]表6资金使用成效（预算执行率）原稿'!C140,2)</f>
        <v>#REF!</v>
      </c>
      <c r="D111" s="104" t="e">
        <f>ROUND('[1]表6资金使用成效（预算执行率）原稿'!D140,2)</f>
        <v>#REF!</v>
      </c>
      <c r="E111" s="104" t="e">
        <f>ROUND('[1]表6资金使用成效（预算执行率）原稿'!E140,2)</f>
        <v>#REF!</v>
      </c>
      <c r="F111" s="104" t="e">
        <f>ROUND('[1]表6资金使用成效（预算执行率）原稿'!F140,2)</f>
        <v>#REF!</v>
      </c>
      <c r="G111" s="104" t="e">
        <f>ROUND('[1]表6资金使用成效（预算执行率）原稿'!G140,2)</f>
        <v>#REF!</v>
      </c>
      <c r="H111" s="104" t="e">
        <f>ROUND('[1]表6资金使用成效（预算执行率）原稿'!H140,2)</f>
        <v>#REF!</v>
      </c>
      <c r="I111" s="104" t="e">
        <f>ROUND('[1]表6资金使用成效（预算执行率）原稿'!I140,2)</f>
        <v>#REF!</v>
      </c>
      <c r="J111" s="104" t="e">
        <f>ROUND('[1]表6资金使用成效（预算执行率）原稿'!J140,2)</f>
        <v>#REF!</v>
      </c>
      <c r="K111" s="104" t="e">
        <f>ROUND('[1]表6资金使用成效（预算执行率）原稿'!K140,2)</f>
        <v>#REF!</v>
      </c>
      <c r="L111" s="98" t="e">
        <f t="shared" si="472"/>
        <v>#REF!</v>
      </c>
    </row>
    <row r="112" ht="14.25">
      <c r="A112" s="103" t="s">
        <v>354</v>
      </c>
      <c r="B112" s="103" t="s">
        <v>132</v>
      </c>
      <c r="C112" s="104" t="e">
        <f>ROUND('[1]表6资金使用成效（预算执行率）原稿'!C141,2)</f>
        <v>#REF!</v>
      </c>
      <c r="D112" s="104" t="e">
        <f>ROUND('[1]表6资金使用成效（预算执行率）原稿'!D141,2)</f>
        <v>#REF!</v>
      </c>
      <c r="E112" s="104" t="e">
        <f>ROUND('[1]表6资金使用成效（预算执行率）原稿'!E141,2)</f>
        <v>#REF!</v>
      </c>
      <c r="F112" s="104" t="e">
        <f>ROUND('[1]表6资金使用成效（预算执行率）原稿'!F141,2)</f>
        <v>#REF!</v>
      </c>
      <c r="G112" s="104" t="e">
        <f>ROUND('[1]表6资金使用成效（预算执行率）原稿'!G141,2)</f>
        <v>#REF!</v>
      </c>
      <c r="H112" s="104" t="e">
        <f>ROUND('[1]表6资金使用成效（预算执行率）原稿'!H141,2)</f>
        <v>#REF!</v>
      </c>
      <c r="I112" s="104" t="e">
        <f>ROUND('[1]表6资金使用成效（预算执行率）原稿'!I141,2)</f>
        <v>#REF!</v>
      </c>
      <c r="J112" s="104" t="e">
        <f>ROUND('[1]表6资金使用成效（预算执行率）原稿'!J141,2)</f>
        <v>#REF!</v>
      </c>
      <c r="K112" s="104" t="e">
        <f>ROUND('[1]表6资金使用成效（预算执行率）原稿'!K141,2)</f>
        <v>#REF!</v>
      </c>
      <c r="L112" s="98" t="e">
        <f t="shared" si="472"/>
        <v>#REF!</v>
      </c>
    </row>
    <row r="113" ht="14.25">
      <c r="A113" s="103" t="s">
        <v>355</v>
      </c>
      <c r="B113" s="103" t="s">
        <v>133</v>
      </c>
      <c r="C113" s="104" t="e">
        <f>ROUND('[1]表6资金使用成效（预算执行率）原稿'!C142,2)</f>
        <v>#REF!</v>
      </c>
      <c r="D113" s="104" t="e">
        <f>ROUND('[1]表6资金使用成效（预算执行率）原稿'!D142,2)</f>
        <v>#REF!</v>
      </c>
      <c r="E113" s="104" t="e">
        <f>ROUND('[1]表6资金使用成效（预算执行率）原稿'!E142,2)</f>
        <v>#REF!</v>
      </c>
      <c r="F113" s="104" t="e">
        <f>ROUND('[1]表6资金使用成效（预算执行率）原稿'!F142,2)</f>
        <v>#REF!</v>
      </c>
      <c r="G113" s="104" t="e">
        <f>ROUND('[1]表6资金使用成效（预算执行率）原稿'!G142,2)</f>
        <v>#REF!</v>
      </c>
      <c r="H113" s="104" t="e">
        <f>ROUND('[1]表6资金使用成效（预算执行率）原稿'!H142,2)</f>
        <v>#REF!</v>
      </c>
      <c r="I113" s="104" t="e">
        <f>ROUND('[1]表6资金使用成效（预算执行率）原稿'!I142,2)</f>
        <v>#REF!</v>
      </c>
      <c r="J113" s="104" t="e">
        <f>ROUND('[1]表6资金使用成效（预算执行率）原稿'!J142,2)</f>
        <v>#REF!</v>
      </c>
      <c r="K113" s="104" t="e">
        <f>ROUND('[1]表6资金使用成效（预算执行率）原稿'!K142,2)</f>
        <v>#REF!</v>
      </c>
      <c r="L113" s="98" t="e">
        <f t="shared" si="472"/>
        <v>#REF!</v>
      </c>
    </row>
    <row r="114" ht="14.25">
      <c r="A114" s="103" t="s">
        <v>356</v>
      </c>
      <c r="B114" s="103" t="s">
        <v>134</v>
      </c>
      <c r="C114" s="104" t="e">
        <f>ROUND('[1]表6资金使用成效（预算执行率）原稿'!C143,2)</f>
        <v>#REF!</v>
      </c>
      <c r="D114" s="104" t="e">
        <f>ROUND('[1]表6资金使用成效（预算执行率）原稿'!D143,2)</f>
        <v>#REF!</v>
      </c>
      <c r="E114" s="104" t="e">
        <f>ROUND('[1]表6资金使用成效（预算执行率）原稿'!E143,2)</f>
        <v>#REF!</v>
      </c>
      <c r="F114" s="104" t="e">
        <f>ROUND('[1]表6资金使用成效（预算执行率）原稿'!F143,2)</f>
        <v>#REF!</v>
      </c>
      <c r="G114" s="104" t="e">
        <f>ROUND('[1]表6资金使用成效（预算执行率）原稿'!G143,2)</f>
        <v>#REF!</v>
      </c>
      <c r="H114" s="104" t="e">
        <f>ROUND('[1]表6资金使用成效（预算执行率）原稿'!H143,2)</f>
        <v>#REF!</v>
      </c>
      <c r="I114" s="104" t="e">
        <f>ROUND('[1]表6资金使用成效（预算执行率）原稿'!I143,2)</f>
        <v>#REF!</v>
      </c>
      <c r="J114" s="104" t="e">
        <f>ROUND('[1]表6资金使用成效（预算执行率）原稿'!J143,2)</f>
        <v>#REF!</v>
      </c>
      <c r="K114" s="104" t="e">
        <f>ROUND('[1]表6资金使用成效（预算执行率）原稿'!K143,2)</f>
        <v>#REF!</v>
      </c>
      <c r="L114" s="98" t="e">
        <f t="shared" si="472"/>
        <v>#REF!</v>
      </c>
    </row>
    <row r="115" ht="14.25">
      <c r="A115" s="103" t="s">
        <v>357</v>
      </c>
      <c r="B115" s="103" t="s">
        <v>135</v>
      </c>
      <c r="C115" s="104" t="e">
        <f>ROUND('[1]表6资金使用成效（预算执行率）原稿'!C144,2)</f>
        <v>#REF!</v>
      </c>
      <c r="D115" s="104" t="e">
        <f>ROUND('[1]表6资金使用成效（预算执行率）原稿'!D144,2)</f>
        <v>#REF!</v>
      </c>
      <c r="E115" s="104" t="e">
        <f>ROUND('[1]表6资金使用成效（预算执行率）原稿'!E144,2)</f>
        <v>#REF!</v>
      </c>
      <c r="F115" s="104" t="e">
        <f>ROUND('[1]表6资金使用成效（预算执行率）原稿'!F144,2)</f>
        <v>#REF!</v>
      </c>
      <c r="G115" s="104" t="e">
        <f>ROUND('[1]表6资金使用成效（预算执行率）原稿'!G144,2)</f>
        <v>#REF!</v>
      </c>
      <c r="H115" s="104" t="e">
        <f>ROUND('[1]表6资金使用成效（预算执行率）原稿'!H144,2)</f>
        <v>#REF!</v>
      </c>
      <c r="I115" s="104" t="e">
        <f>ROUND('[1]表6资金使用成效（预算执行率）原稿'!I144,2)</f>
        <v>#REF!</v>
      </c>
      <c r="J115" s="104" t="e">
        <f>ROUND('[1]表6资金使用成效（预算执行率）原稿'!J144,2)</f>
        <v>#REF!</v>
      </c>
      <c r="K115" s="104" t="e">
        <f>ROUND('[1]表6资金使用成效（预算执行率）原稿'!K144,2)</f>
        <v>#REF!</v>
      </c>
      <c r="L115" s="98" t="e">
        <f t="shared" si="472"/>
        <v>#REF!</v>
      </c>
    </row>
    <row r="116" ht="14.25">
      <c r="A116" s="103" t="s">
        <v>358</v>
      </c>
      <c r="B116" s="103" t="s">
        <v>80</v>
      </c>
      <c r="C116" s="104" t="e">
        <f>ROUND('[1]表6资金使用成效（预算执行率）原稿'!C145,2)</f>
        <v>#REF!</v>
      </c>
      <c r="D116" s="104" t="e">
        <f>ROUND('[1]表6资金使用成效（预算执行率）原稿'!D145,2)</f>
        <v>#REF!</v>
      </c>
      <c r="E116" s="104" t="e">
        <f>ROUND('[1]表6资金使用成效（预算执行率）原稿'!E145,2)</f>
        <v>#REF!</v>
      </c>
      <c r="F116" s="104" t="e">
        <f>ROUND('[1]表6资金使用成效（预算执行率）原稿'!F145,2)</f>
        <v>#REF!</v>
      </c>
      <c r="G116" s="104" t="e">
        <f>ROUND('[1]表6资金使用成效（预算执行率）原稿'!G145,2)</f>
        <v>#REF!</v>
      </c>
      <c r="H116" s="104" t="e">
        <f>ROUND('[1]表6资金使用成效（预算执行率）原稿'!H145,2)</f>
        <v>#REF!</v>
      </c>
      <c r="I116" s="104" t="e">
        <f>ROUND('[1]表6资金使用成效（预算执行率）原稿'!I145,2)</f>
        <v>#REF!</v>
      </c>
      <c r="J116" s="104" t="e">
        <f>ROUND('[1]表6资金使用成效（预算执行率）原稿'!J145,2)</f>
        <v>#REF!</v>
      </c>
      <c r="K116" s="104" t="e">
        <f>ROUND('[1]表6资金使用成效（预算执行率）原稿'!K145,2)</f>
        <v>#REF!</v>
      </c>
      <c r="L116" s="98" t="e">
        <f t="shared" si="472"/>
        <v>#REF!</v>
      </c>
    </row>
    <row r="117" ht="14.25">
      <c r="A117" s="103" t="s">
        <v>359</v>
      </c>
      <c r="B117" s="103" t="s">
        <v>138</v>
      </c>
      <c r="C117" s="104" t="e">
        <f>ROUND('[1]表6资金使用成效（预算执行率）原稿'!C146,2)</f>
        <v>#REF!</v>
      </c>
      <c r="D117" s="104" t="e">
        <f>ROUND('[1]表6资金使用成效（预算执行率）原稿'!D146,2)</f>
        <v>#REF!</v>
      </c>
      <c r="E117" s="104" t="e">
        <f>ROUND('[1]表6资金使用成效（预算执行率）原稿'!E146,2)</f>
        <v>#REF!</v>
      </c>
      <c r="F117" s="104" t="e">
        <f>ROUND('[1]表6资金使用成效（预算执行率）原稿'!F146,2)</f>
        <v>#REF!</v>
      </c>
      <c r="G117" s="104" t="e">
        <f>ROUND('[1]表6资金使用成效（预算执行率）原稿'!G146,2)</f>
        <v>#REF!</v>
      </c>
      <c r="H117" s="104" t="e">
        <f>ROUND('[1]表6资金使用成效（预算执行率）原稿'!H146,2)</f>
        <v>#REF!</v>
      </c>
      <c r="I117" s="104" t="e">
        <f>ROUND('[1]表6资金使用成效（预算执行率）原稿'!I146,2)</f>
        <v>#REF!</v>
      </c>
      <c r="J117" s="104" t="e">
        <f>ROUND('[1]表6资金使用成效（预算执行率）原稿'!J146,2)</f>
        <v>#REF!</v>
      </c>
      <c r="K117" s="104" t="e">
        <f>ROUND('[1]表6资金使用成效（预算执行率）原稿'!K146,2)</f>
        <v>#REF!</v>
      </c>
      <c r="L117" s="98" t="e">
        <f t="shared" si="472"/>
        <v>#REF!</v>
      </c>
    </row>
    <row r="118" ht="14.25">
      <c r="A118" s="103" t="s">
        <v>360</v>
      </c>
      <c r="B118" s="103" t="s">
        <v>139</v>
      </c>
      <c r="C118" s="104" t="e">
        <f>ROUND('[1]表6资金使用成效（预算执行率）原稿'!C147,2)</f>
        <v>#REF!</v>
      </c>
      <c r="D118" s="104" t="e">
        <f>ROUND('[1]表6资金使用成效（预算执行率）原稿'!D147,2)</f>
        <v>#REF!</v>
      </c>
      <c r="E118" s="104" t="e">
        <f>ROUND('[1]表6资金使用成效（预算执行率）原稿'!E147,2)</f>
        <v>#REF!</v>
      </c>
      <c r="F118" s="104" t="e">
        <f>ROUND('[1]表6资金使用成效（预算执行率）原稿'!F147,2)</f>
        <v>#REF!</v>
      </c>
      <c r="G118" s="104" t="e">
        <f>ROUND('[1]表6资金使用成效（预算执行率）原稿'!G147,2)</f>
        <v>#REF!</v>
      </c>
      <c r="H118" s="104" t="e">
        <f>ROUND('[1]表6资金使用成效（预算执行率）原稿'!H147,2)</f>
        <v>#REF!</v>
      </c>
      <c r="I118" s="104" t="e">
        <f>ROUND('[1]表6资金使用成效（预算执行率）原稿'!I147,2)</f>
        <v>#REF!</v>
      </c>
      <c r="J118" s="104" t="e">
        <f>ROUND('[1]表6资金使用成效（预算执行率）原稿'!J147,2)</f>
        <v>#REF!</v>
      </c>
      <c r="K118" s="104" t="e">
        <f>ROUND('[1]表6资金使用成效（预算执行率）原稿'!K147,2)</f>
        <v>#REF!</v>
      </c>
      <c r="L118" s="98" t="e">
        <f t="shared" si="472"/>
        <v>#REF!</v>
      </c>
    </row>
    <row r="119" ht="14.25">
      <c r="A119" s="103" t="s">
        <v>361</v>
      </c>
      <c r="B119" s="103" t="s">
        <v>140</v>
      </c>
      <c r="C119" s="104" t="e">
        <f>ROUND('[1]表6资金使用成效（预算执行率）原稿'!C148,2)</f>
        <v>#REF!</v>
      </c>
      <c r="D119" s="104" t="e">
        <f>ROUND('[1]表6资金使用成效（预算执行率）原稿'!D148,2)</f>
        <v>#REF!</v>
      </c>
      <c r="E119" s="104" t="e">
        <f>ROUND('[1]表6资金使用成效（预算执行率）原稿'!E148,2)</f>
        <v>#REF!</v>
      </c>
      <c r="F119" s="104" t="e">
        <f>ROUND('[1]表6资金使用成效（预算执行率）原稿'!F148,2)</f>
        <v>#REF!</v>
      </c>
      <c r="G119" s="104" t="e">
        <f>ROUND('[1]表6资金使用成效（预算执行率）原稿'!G148,2)</f>
        <v>#REF!</v>
      </c>
      <c r="H119" s="104" t="e">
        <f>ROUND('[1]表6资金使用成效（预算执行率）原稿'!H148,2)</f>
        <v>#REF!</v>
      </c>
      <c r="I119" s="104" t="e">
        <f>ROUND('[1]表6资金使用成效（预算执行率）原稿'!I148,2)</f>
        <v>#REF!</v>
      </c>
      <c r="J119" s="104" t="e">
        <f>ROUND('[1]表6资金使用成效（预算执行率）原稿'!J148,2)</f>
        <v>#REF!</v>
      </c>
      <c r="K119" s="104" t="e">
        <f>ROUND('[1]表6资金使用成效（预算执行率）原稿'!K148,2)</f>
        <v>#REF!</v>
      </c>
      <c r="L119" s="98" t="e">
        <f t="shared" si="472"/>
        <v>#REF!</v>
      </c>
    </row>
    <row r="120" ht="14.25">
      <c r="A120" s="103" t="s">
        <v>362</v>
      </c>
      <c r="B120" s="103" t="s">
        <v>141</v>
      </c>
      <c r="C120" s="104" t="e">
        <f>ROUND('[1]表6资金使用成效（预算执行率）原稿'!C149,2)</f>
        <v>#REF!</v>
      </c>
      <c r="D120" s="104" t="e">
        <f>ROUND('[1]表6资金使用成效（预算执行率）原稿'!D149,2)</f>
        <v>#REF!</v>
      </c>
      <c r="E120" s="104" t="e">
        <f>ROUND('[1]表6资金使用成效（预算执行率）原稿'!E149,2)</f>
        <v>#REF!</v>
      </c>
      <c r="F120" s="104" t="e">
        <f>ROUND('[1]表6资金使用成效（预算执行率）原稿'!F149,2)</f>
        <v>#REF!</v>
      </c>
      <c r="G120" s="104" t="e">
        <f>ROUND('[1]表6资金使用成效（预算执行率）原稿'!G149,2)</f>
        <v>#REF!</v>
      </c>
      <c r="H120" s="104" t="e">
        <f>ROUND('[1]表6资金使用成效（预算执行率）原稿'!H149,2)</f>
        <v>#REF!</v>
      </c>
      <c r="I120" s="104" t="e">
        <f>ROUND('[1]表6资金使用成效（预算执行率）原稿'!I149,2)</f>
        <v>#REF!</v>
      </c>
      <c r="J120" s="104" t="e">
        <f>ROUND('[1]表6资金使用成效（预算执行率）原稿'!J149,2)</f>
        <v>#REF!</v>
      </c>
      <c r="K120" s="104" t="e">
        <f>ROUND('[1]表6资金使用成效（预算执行率）原稿'!K149,2)</f>
        <v>#REF!</v>
      </c>
      <c r="L120" s="98" t="e">
        <f t="shared" si="472"/>
        <v>#REF!</v>
      </c>
    </row>
    <row r="121" ht="14.25">
      <c r="A121" s="103" t="s">
        <v>363</v>
      </c>
      <c r="B121" s="103" t="s">
        <v>142</v>
      </c>
      <c r="C121" s="104" t="e">
        <f>ROUND('[1]表6资金使用成效（预算执行率）原稿'!C150,2)</f>
        <v>#REF!</v>
      </c>
      <c r="D121" s="104" t="e">
        <f>ROUND('[1]表6资金使用成效（预算执行率）原稿'!D150,2)</f>
        <v>#REF!</v>
      </c>
      <c r="E121" s="104" t="e">
        <f>ROUND('[1]表6资金使用成效（预算执行率）原稿'!E150,2)</f>
        <v>#REF!</v>
      </c>
      <c r="F121" s="104" t="e">
        <f>ROUND('[1]表6资金使用成效（预算执行率）原稿'!F150,2)</f>
        <v>#REF!</v>
      </c>
      <c r="G121" s="104" t="e">
        <f>ROUND('[1]表6资金使用成效（预算执行率）原稿'!G150,2)</f>
        <v>#REF!</v>
      </c>
      <c r="H121" s="104" t="e">
        <f>ROUND('[1]表6资金使用成效（预算执行率）原稿'!H150,2)</f>
        <v>#REF!</v>
      </c>
      <c r="I121" s="104" t="e">
        <f>ROUND('[1]表6资金使用成效（预算执行率）原稿'!I150,2)</f>
        <v>#REF!</v>
      </c>
      <c r="J121" s="104" t="e">
        <f>ROUND('[1]表6资金使用成效（预算执行率）原稿'!J150,2)</f>
        <v>#REF!</v>
      </c>
      <c r="K121" s="104" t="e">
        <f>ROUND('[1]表6资金使用成效（预算执行率）原稿'!K150,2)</f>
        <v>#REF!</v>
      </c>
      <c r="L121" s="98" t="e">
        <f t="shared" si="472"/>
        <v>#REF!</v>
      </c>
    </row>
    <row r="122" ht="14.25">
      <c r="A122" s="103" t="s">
        <v>364</v>
      </c>
      <c r="B122" s="103" t="s">
        <v>143</v>
      </c>
      <c r="C122" s="104" t="e">
        <f>ROUND('[1]表6资金使用成效（预算执行率）原稿'!C151,2)</f>
        <v>#REF!</v>
      </c>
      <c r="D122" s="104" t="e">
        <f>ROUND('[1]表6资金使用成效（预算执行率）原稿'!D151,2)</f>
        <v>#REF!</v>
      </c>
      <c r="E122" s="104" t="e">
        <f>ROUND('[1]表6资金使用成效（预算执行率）原稿'!E151,2)</f>
        <v>#REF!</v>
      </c>
      <c r="F122" s="104" t="e">
        <f>ROUND('[1]表6资金使用成效（预算执行率）原稿'!F151,2)</f>
        <v>#REF!</v>
      </c>
      <c r="G122" s="104" t="e">
        <f>ROUND('[1]表6资金使用成效（预算执行率）原稿'!G151,2)</f>
        <v>#REF!</v>
      </c>
      <c r="H122" s="104" t="e">
        <f>ROUND('[1]表6资金使用成效（预算执行率）原稿'!H151,2)</f>
        <v>#REF!</v>
      </c>
      <c r="I122" s="104" t="e">
        <f>ROUND('[1]表6资金使用成效（预算执行率）原稿'!I151,2)</f>
        <v>#REF!</v>
      </c>
      <c r="J122" s="104" t="e">
        <f>ROUND('[1]表6资金使用成效（预算执行率）原稿'!J151,2)</f>
        <v>#REF!</v>
      </c>
      <c r="K122" s="104" t="e">
        <f>ROUND('[1]表6资金使用成效（预算执行率）原稿'!K151,2)</f>
        <v>#REF!</v>
      </c>
      <c r="L122" s="98" t="e">
        <f t="shared" si="472"/>
        <v>#REF!</v>
      </c>
    </row>
    <row r="123" ht="14.25">
      <c r="A123" s="103" t="s">
        <v>365</v>
      </c>
      <c r="B123" s="103" t="s">
        <v>144</v>
      </c>
      <c r="C123" s="104" t="e">
        <f>ROUND('[1]表6资金使用成效（预算执行率）原稿'!C152,2)</f>
        <v>#REF!</v>
      </c>
      <c r="D123" s="104" t="e">
        <f>ROUND('[1]表6资金使用成效（预算执行率）原稿'!D152,2)</f>
        <v>#REF!</v>
      </c>
      <c r="E123" s="104" t="e">
        <f>ROUND('[1]表6资金使用成效（预算执行率）原稿'!E152,2)</f>
        <v>#REF!</v>
      </c>
      <c r="F123" s="104" t="e">
        <f>ROUND('[1]表6资金使用成效（预算执行率）原稿'!F152,2)</f>
        <v>#REF!</v>
      </c>
      <c r="G123" s="104" t="e">
        <f>ROUND('[1]表6资金使用成效（预算执行率）原稿'!G152,2)</f>
        <v>#REF!</v>
      </c>
      <c r="H123" s="104" t="e">
        <f>ROUND('[1]表6资金使用成效（预算执行率）原稿'!H152,2)</f>
        <v>#REF!</v>
      </c>
      <c r="I123" s="104" t="e">
        <f>ROUND('[1]表6资金使用成效（预算执行率）原稿'!I152,2)</f>
        <v>#REF!</v>
      </c>
      <c r="J123" s="104" t="e">
        <f>ROUND('[1]表6资金使用成效（预算执行率）原稿'!J152,2)</f>
        <v>#REF!</v>
      </c>
      <c r="K123" s="104" t="e">
        <f>ROUND('[1]表6资金使用成效（预算执行率）原稿'!K152,2)</f>
        <v>#REF!</v>
      </c>
      <c r="L123" s="98" t="e">
        <f t="shared" si="472"/>
        <v>#REF!</v>
      </c>
    </row>
    <row r="124" ht="14.25">
      <c r="A124" s="103" t="s">
        <v>366</v>
      </c>
      <c r="B124" s="103" t="s">
        <v>145</v>
      </c>
      <c r="C124" s="104" t="e">
        <f>ROUND('[1]表6资金使用成效（预算执行率）原稿'!C153,2)</f>
        <v>#REF!</v>
      </c>
      <c r="D124" s="104" t="e">
        <f>ROUND('[1]表6资金使用成效（预算执行率）原稿'!D153,2)</f>
        <v>#REF!</v>
      </c>
      <c r="E124" s="104" t="e">
        <f>ROUND('[1]表6资金使用成效（预算执行率）原稿'!E153,2)</f>
        <v>#REF!</v>
      </c>
      <c r="F124" s="104" t="e">
        <f>ROUND('[1]表6资金使用成效（预算执行率）原稿'!F153,2)</f>
        <v>#REF!</v>
      </c>
      <c r="G124" s="104" t="e">
        <f>ROUND('[1]表6资金使用成效（预算执行率）原稿'!G153,2)</f>
        <v>#REF!</v>
      </c>
      <c r="H124" s="104" t="e">
        <f>ROUND('[1]表6资金使用成效（预算执行率）原稿'!H153,2)</f>
        <v>#REF!</v>
      </c>
      <c r="I124" s="104" t="e">
        <f>ROUND('[1]表6资金使用成效（预算执行率）原稿'!I153,2)</f>
        <v>#REF!</v>
      </c>
      <c r="J124" s="104" t="e">
        <f>ROUND('[1]表6资金使用成效（预算执行率）原稿'!J153,2)</f>
        <v>#REF!</v>
      </c>
      <c r="K124" s="104" t="e">
        <f>ROUND('[1]表6资金使用成效（预算执行率）原稿'!K153,2)</f>
        <v>#REF!</v>
      </c>
      <c r="L124" s="98" t="e">
        <f t="shared" si="472"/>
        <v>#REF!</v>
      </c>
    </row>
    <row r="125" ht="14.25">
      <c r="A125" s="103" t="s">
        <v>367</v>
      </c>
      <c r="B125" s="103" t="s">
        <v>161</v>
      </c>
      <c r="C125" s="104" t="e">
        <f>ROUND('[1]表6资金使用成效（预算执行率）原稿'!C154,2)</f>
        <v>#REF!</v>
      </c>
      <c r="D125" s="104" t="e">
        <f>ROUND('[1]表6资金使用成效（预算执行率）原稿'!D154,2)</f>
        <v>#REF!</v>
      </c>
      <c r="E125" s="104" t="e">
        <f>ROUND('[1]表6资金使用成效（预算执行率）原稿'!E154,2)</f>
        <v>#REF!</v>
      </c>
      <c r="F125" s="104" t="e">
        <f>ROUND('[1]表6资金使用成效（预算执行率）原稿'!F154,2)</f>
        <v>#REF!</v>
      </c>
      <c r="G125" s="104" t="e">
        <f>ROUND('[1]表6资金使用成效（预算执行率）原稿'!G154,2)</f>
        <v>#REF!</v>
      </c>
      <c r="H125" s="104" t="e">
        <f>ROUND('[1]表6资金使用成效（预算执行率）原稿'!H154,2)</f>
        <v>#REF!</v>
      </c>
      <c r="I125" s="104" t="e">
        <f>ROUND('[1]表6资金使用成效（预算执行率）原稿'!I154,2)</f>
        <v>#REF!</v>
      </c>
      <c r="J125" s="104" t="e">
        <f>ROUND('[1]表6资金使用成效（预算执行率）原稿'!J154,2)</f>
        <v>#REF!</v>
      </c>
      <c r="K125" s="104" t="e">
        <f>ROUND('[1]表6资金使用成效（预算执行率）原稿'!K154,2)</f>
        <v>#REF!</v>
      </c>
      <c r="L125" s="98" t="e">
        <f t="shared" si="472"/>
        <v>#REF!</v>
      </c>
    </row>
    <row r="126" ht="14.25">
      <c r="A126" s="103" t="s">
        <v>368</v>
      </c>
      <c r="B126" s="103" t="s">
        <v>162</v>
      </c>
      <c r="C126" s="104" t="e">
        <f>ROUND('[1]表6资金使用成效（预算执行率）原稿'!C155,2)</f>
        <v>#REF!</v>
      </c>
      <c r="D126" s="104" t="e">
        <f>ROUND('[1]表6资金使用成效（预算执行率）原稿'!D155,2)</f>
        <v>#REF!</v>
      </c>
      <c r="E126" s="104" t="e">
        <f>ROUND('[1]表6资金使用成效（预算执行率）原稿'!E155,2)</f>
        <v>#REF!</v>
      </c>
      <c r="F126" s="104" t="e">
        <f>ROUND('[1]表6资金使用成效（预算执行率）原稿'!F155,2)</f>
        <v>#REF!</v>
      </c>
      <c r="G126" s="104" t="e">
        <f>ROUND('[1]表6资金使用成效（预算执行率）原稿'!G155,2)</f>
        <v>#REF!</v>
      </c>
      <c r="H126" s="104" t="e">
        <f>ROUND('[1]表6资金使用成效（预算执行率）原稿'!H155,2)</f>
        <v>#REF!</v>
      </c>
      <c r="I126" s="104" t="e">
        <f>ROUND('[1]表6资金使用成效（预算执行率）原稿'!I155,2)</f>
        <v>#REF!</v>
      </c>
      <c r="J126" s="104" t="e">
        <f>ROUND('[1]表6资金使用成效（预算执行率）原稿'!J155,2)</f>
        <v>#REF!</v>
      </c>
      <c r="K126" s="104" t="e">
        <f>ROUND('[1]表6资金使用成效（预算执行率）原稿'!K155,2)</f>
        <v>#REF!</v>
      </c>
      <c r="L126" s="98" t="e">
        <f t="shared" si="472"/>
        <v>#REF!</v>
      </c>
    </row>
    <row r="127">
      <c r="A127" s="105"/>
      <c r="B127" s="105"/>
    </row>
  </sheetData>
  <autoFilter ref="A2:L126"/>
  <mergeCells count="1">
    <mergeCell ref="A1:K1"/>
  </mergeCells>
  <printOptions headings="0" gridLines="0"/>
  <pageMargins left="0.66805555555555585" right="0.35416666666666702" top="0.82638888888888895" bottom="1" header="0.5" footer="0.5"/>
  <pageSetup paperSize="9" scale="100" fitToWidth="1" fitToHeight="1" pageOrder="downThenOver" orientation="landscape" usePrinterDefaults="1" blackAndWhite="0" draft="0" cellComments="none" useFirstPageNumber="0" errors="displayed" horizontalDpi="600" verticalDpi="600" copies="1"/>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4" tint="0.59999999999999998"/>
    <outlinePr applyStyles="0" summaryBelow="1" summaryRight="1" showOutlineSymbols="1"/>
    <pageSetUpPr autoPageBreaks="1" fitToPage="0"/>
  </sheetPr>
  <sheetViews>
    <sheetView showZeros="0" zoomScale="115" workbookViewId="0">
      <selection activeCell="O5" activeCellId="0" sqref="O5"/>
    </sheetView>
  </sheetViews>
  <sheetFormatPr defaultColWidth="9" defaultRowHeight="12.75" outlineLevelCol="7"/>
  <cols>
    <col customWidth="1" min="1" max="1" style="3" width="5"/>
    <col customWidth="1" min="2" max="2" style="418" width="12.824999999999999"/>
    <col customWidth="1" min="3" max="3" style="1" width="11.525"/>
    <col customWidth="1" min="4" max="4" style="1" width="9.68333333333333"/>
    <col customWidth="1" min="5" max="5" style="4" width="9.375"/>
    <col customWidth="1" min="6" max="6" style="4" width="9.9916666666666707"/>
    <col customWidth="1" min="7" max="7" style="1" width="10.65"/>
    <col customWidth="1" min="8" max="8" style="1" width="11.300000000000001"/>
  </cols>
  <sheetData>
    <row r="1">
      <c r="A1" s="419" t="s">
        <v>1583</v>
      </c>
    </row>
    <row r="2" ht="32" customHeight="1">
      <c r="A2" s="420" t="s">
        <v>1584</v>
      </c>
      <c r="B2" s="421"/>
      <c r="C2" s="421"/>
      <c r="D2" s="421"/>
      <c r="E2" s="422"/>
      <c r="F2" s="422"/>
      <c r="G2" s="421"/>
      <c r="H2" s="421"/>
    </row>
    <row r="3" ht="18" customHeight="1">
      <c r="A3" s="423"/>
      <c r="B3" s="424"/>
      <c r="C3" s="423"/>
      <c r="D3" s="423"/>
      <c r="E3" s="425"/>
      <c r="F3" s="425"/>
      <c r="G3" s="423"/>
      <c r="H3" s="426" t="s">
        <v>2</v>
      </c>
    </row>
    <row r="4" s="10" customFormat="1" ht="26" customHeight="1">
      <c r="A4" s="152" t="s">
        <v>3</v>
      </c>
      <c r="B4" s="152" t="s">
        <v>4</v>
      </c>
      <c r="C4" s="427" t="s">
        <v>1372</v>
      </c>
      <c r="D4" s="427"/>
      <c r="E4" s="428"/>
      <c r="F4" s="428"/>
      <c r="G4" s="427"/>
      <c r="H4" s="427"/>
    </row>
    <row r="5" s="10" customFormat="1" ht="20" customHeight="1">
      <c r="A5" s="152"/>
      <c r="B5" s="152"/>
      <c r="C5" s="152" t="s">
        <v>1585</v>
      </c>
      <c r="D5" s="429" t="s">
        <v>1586</v>
      </c>
      <c r="E5" s="430"/>
      <c r="F5" s="430"/>
      <c r="G5" s="429"/>
      <c r="H5" s="429"/>
    </row>
    <row r="6" s="10" customFormat="1" ht="56" customHeight="1">
      <c r="A6" s="152"/>
      <c r="B6" s="152"/>
      <c r="C6" s="152"/>
      <c r="D6" s="152" t="s">
        <v>1587</v>
      </c>
      <c r="E6" s="25" t="s">
        <v>1588</v>
      </c>
      <c r="F6" s="25" t="s">
        <v>1589</v>
      </c>
      <c r="G6" s="25" t="s">
        <v>1590</v>
      </c>
      <c r="H6" s="14" t="s">
        <v>1591</v>
      </c>
    </row>
    <row r="7" s="10" customFormat="1" ht="24" customHeight="1">
      <c r="A7" s="427"/>
      <c r="B7" s="431" t="s">
        <v>385</v>
      </c>
      <c r="C7" s="432">
        <v>100</v>
      </c>
      <c r="D7" s="433"/>
      <c r="E7" s="433"/>
      <c r="F7" s="433">
        <v>100</v>
      </c>
      <c r="G7" s="432"/>
      <c r="H7" s="433">
        <v>0</v>
      </c>
    </row>
    <row r="8" ht="24" customHeight="1">
      <c r="A8" s="434">
        <v>1</v>
      </c>
      <c r="B8" s="86" t="s">
        <v>200</v>
      </c>
      <c r="C8" s="432">
        <v>20</v>
      </c>
      <c r="D8" s="435"/>
      <c r="E8" s="435"/>
      <c r="F8" s="435">
        <v>20</v>
      </c>
      <c r="G8" s="436">
        <v>0</v>
      </c>
      <c r="H8" s="437">
        <v>0</v>
      </c>
    </row>
    <row r="9" ht="24" customHeight="1">
      <c r="A9" s="434">
        <v>2</v>
      </c>
      <c r="B9" s="86" t="s">
        <v>201</v>
      </c>
      <c r="C9" s="432">
        <v>20</v>
      </c>
      <c r="D9" s="435"/>
      <c r="E9" s="435"/>
      <c r="F9" s="435">
        <v>20</v>
      </c>
      <c r="G9" s="436">
        <v>0</v>
      </c>
      <c r="H9" s="437">
        <v>0</v>
      </c>
    </row>
    <row r="10" ht="24" customHeight="1">
      <c r="A10" s="434">
        <v>3</v>
      </c>
      <c r="B10" s="86" t="s">
        <v>202</v>
      </c>
      <c r="C10" s="432">
        <v>20</v>
      </c>
      <c r="D10" s="435"/>
      <c r="E10" s="435"/>
      <c r="F10" s="435">
        <v>20</v>
      </c>
      <c r="G10" s="436">
        <v>0</v>
      </c>
      <c r="H10" s="437">
        <v>0</v>
      </c>
    </row>
    <row r="11" ht="24" customHeight="1">
      <c r="A11" s="434">
        <v>4</v>
      </c>
      <c r="B11" s="86" t="s">
        <v>203</v>
      </c>
      <c r="C11" s="432">
        <v>20</v>
      </c>
      <c r="D11" s="435"/>
      <c r="E11" s="435"/>
      <c r="F11" s="435">
        <v>20</v>
      </c>
      <c r="G11" s="436"/>
      <c r="H11" s="437">
        <v>0</v>
      </c>
    </row>
    <row r="12" ht="24" customHeight="1">
      <c r="A12" s="434">
        <v>5</v>
      </c>
      <c r="B12" s="86" t="s">
        <v>199</v>
      </c>
      <c r="C12" s="432">
        <v>20</v>
      </c>
      <c r="D12" s="435"/>
      <c r="E12" s="435"/>
      <c r="F12" s="435">
        <v>20</v>
      </c>
      <c r="G12" s="436">
        <v>0</v>
      </c>
      <c r="H12" s="437">
        <v>0</v>
      </c>
    </row>
    <row r="13">
      <c r="B13" s="438"/>
    </row>
  </sheetData>
  <mergeCells count="6">
    <mergeCell ref="A2:H2"/>
    <mergeCell ref="A4:A6"/>
    <mergeCell ref="B4:B6"/>
    <mergeCell ref="C4:H4"/>
    <mergeCell ref="C5:C6"/>
    <mergeCell ref="D5:H5"/>
  </mergeCells>
  <printOptions headings="0" gridLines="0"/>
  <pageMargins left="0.51180555555555596" right="0.51180555555555596" top="1.5743055555555603" bottom="1.5743055555555603" header="0.78680555555555598" footer="0.78680555555555598"/>
  <pageSetup paperSize="9" scale="110" fitToWidth="1" fitToHeight="0" pageOrder="overThenDown" orientation="portrait" usePrinterDefaults="1" blackAndWhite="0" draft="0" cellComments="none" useFirstPageNumber="0" errors="displayed" horizontalDpi="600" verticalDpi="600" copies="1"/>
  <headerFooter>
    <oddFooter>&amp;C第 &amp;P 页，共 &amp;N 页</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4" tint="0.59999999999999998"/>
    <outlinePr applyStyles="0" summaryBelow="1" summaryRight="1" showOutlineSymbols="1"/>
    <pageSetUpPr autoPageBreaks="1" fitToPage="0"/>
  </sheetPr>
  <sheetViews>
    <sheetView showZeros="0" zoomScale="100" workbookViewId="0">
      <pane xSplit="4" ySplit="6" topLeftCell="E7" activePane="bottomRight" state="frozen"/>
      <selection activeCell="G7" activeCellId="0" sqref="G7"/>
    </sheetView>
  </sheetViews>
  <sheetFormatPr defaultColWidth="9" defaultRowHeight="13.5"/>
  <cols>
    <col customWidth="1" min="1" max="1" style="3" width="5"/>
    <col customWidth="1" min="2" max="2" style="418" width="10"/>
    <col customWidth="1" min="3" max="3" style="1" width="11.25"/>
    <col customWidth="1" min="4" max="4" style="1" width="9"/>
    <col customWidth="1" min="5" max="5" style="1" width="7.5"/>
    <col customWidth="1" min="6" max="7" style="1" width="9.68333333333333"/>
    <col customWidth="1" min="8" max="8" style="4" width="9.375"/>
    <col customWidth="1" min="9" max="9" style="4" width="8.9000000000000004"/>
    <col customWidth="1" min="10" max="10" style="1" width="8.5"/>
    <col customWidth="1" min="11" max="11" style="1" width="8.75"/>
    <col customWidth="1" hidden="1" min="12" max="12" style="1" width="8.2750000000000004"/>
    <col customWidth="1" hidden="1" min="13" max="13" style="439" width="13.275"/>
    <col customWidth="1" hidden="1" min="14" max="14" style="1" width="7.625"/>
    <col customWidth="1" hidden="1" min="15" max="15" style="1" width="8"/>
    <col customWidth="1" hidden="1" min="16" max="16" style="1" width="9.125"/>
    <col customWidth="1" hidden="1" min="17" max="18" style="1" width="8"/>
    <col customWidth="1" hidden="1" min="19" max="19" style="1" width="8.25"/>
    <col customWidth="1" min="20" max="20" style="440" width="11.25"/>
    <col customWidth="1" min="21" max="21" width="10.375"/>
    <col customWidth="1" min="22" max="22" width="9.75"/>
    <col min="23" max="23" width="12.625"/>
    <col min="24" max="24" width="14.125"/>
  </cols>
  <sheetData>
    <row r="1">
      <c r="A1" s="419" t="s">
        <v>1583</v>
      </c>
      <c r="O1" s="1"/>
      <c r="P1" s="1"/>
      <c r="Q1" s="1"/>
      <c r="R1" s="1"/>
      <c r="S1" s="1"/>
      <c r="T1" s="440"/>
    </row>
    <row r="2" ht="32" customHeight="1">
      <c r="A2" s="441" t="s">
        <v>1584</v>
      </c>
      <c r="B2" s="442"/>
      <c r="C2" s="442"/>
      <c r="D2" s="442"/>
      <c r="E2" s="442"/>
      <c r="F2" s="442"/>
      <c r="G2" s="442"/>
      <c r="H2" s="443"/>
      <c r="I2" s="443"/>
      <c r="J2" s="442"/>
      <c r="K2" s="442"/>
      <c r="L2" s="442"/>
      <c r="M2" s="442"/>
      <c r="N2" s="442"/>
      <c r="O2" s="442"/>
      <c r="P2" s="442"/>
      <c r="Q2" s="442"/>
      <c r="R2" s="442"/>
      <c r="S2" s="442"/>
      <c r="T2" s="442"/>
    </row>
    <row r="3" ht="18" customHeight="1">
      <c r="A3" s="423"/>
      <c r="B3" s="424"/>
      <c r="C3" s="423"/>
      <c r="D3" s="423"/>
      <c r="E3" s="423"/>
      <c r="F3" s="423"/>
      <c r="G3" s="423"/>
      <c r="H3" s="425"/>
      <c r="I3" s="425"/>
      <c r="J3" s="423"/>
      <c r="K3" s="423"/>
      <c r="L3" s="423"/>
      <c r="M3" s="425"/>
      <c r="N3" s="426"/>
      <c r="O3" s="438"/>
      <c r="P3" s="438"/>
      <c r="Q3" s="438"/>
      <c r="R3" s="438"/>
      <c r="S3" s="438"/>
      <c r="T3" s="426" t="s">
        <v>2</v>
      </c>
    </row>
    <row r="4" s="10" customFormat="1" ht="20" customHeight="1">
      <c r="A4" s="152" t="s">
        <v>3</v>
      </c>
      <c r="B4" s="152" t="s">
        <v>4</v>
      </c>
      <c r="C4" s="152" t="s">
        <v>376</v>
      </c>
      <c r="D4" s="427" t="s">
        <v>1372</v>
      </c>
      <c r="E4" s="427"/>
      <c r="F4" s="427"/>
      <c r="G4" s="427"/>
      <c r="H4" s="428"/>
      <c r="I4" s="428"/>
      <c r="J4" s="427"/>
      <c r="K4" s="427"/>
      <c r="L4" s="427"/>
      <c r="M4" s="146" t="s">
        <v>1592</v>
      </c>
      <c r="N4" s="146"/>
      <c r="O4" s="146"/>
      <c r="P4" s="155" t="s">
        <v>1374</v>
      </c>
      <c r="Q4" s="444"/>
      <c r="R4" s="444"/>
      <c r="S4" s="155" t="s">
        <v>1373</v>
      </c>
      <c r="T4" s="14" t="s">
        <v>1593</v>
      </c>
      <c r="W4" s="5"/>
      <c r="X4" s="5"/>
    </row>
    <row r="5" s="10" customFormat="1" ht="18" customHeight="1">
      <c r="A5" s="152"/>
      <c r="B5" s="152"/>
      <c r="C5" s="152"/>
      <c r="D5" s="152" t="s">
        <v>1585</v>
      </c>
      <c r="E5" s="429" t="s">
        <v>1586</v>
      </c>
      <c r="F5" s="429"/>
      <c r="G5" s="429"/>
      <c r="H5" s="430"/>
      <c r="I5" s="430"/>
      <c r="J5" s="429"/>
      <c r="K5" s="429"/>
      <c r="L5" s="429"/>
      <c r="M5" s="146"/>
      <c r="N5" s="146"/>
      <c r="O5" s="146"/>
      <c r="P5" s="445"/>
      <c r="Q5" s="429"/>
      <c r="R5" s="429"/>
      <c r="S5" s="445"/>
      <c r="T5" s="14"/>
      <c r="W5" s="5"/>
      <c r="X5" s="5"/>
    </row>
    <row r="6" s="10" customFormat="1" ht="53" customHeight="1">
      <c r="A6" s="152"/>
      <c r="B6" s="152"/>
      <c r="C6" s="152"/>
      <c r="D6" s="152"/>
      <c r="E6" s="446" t="s">
        <v>1594</v>
      </c>
      <c r="F6" s="446" t="s">
        <v>1595</v>
      </c>
      <c r="G6" s="446" t="s">
        <v>1596</v>
      </c>
      <c r="H6" s="25" t="s">
        <v>1588</v>
      </c>
      <c r="I6" s="25" t="s">
        <v>1589</v>
      </c>
      <c r="J6" s="25" t="s">
        <v>1590</v>
      </c>
      <c r="K6" s="14" t="s">
        <v>1597</v>
      </c>
      <c r="L6" s="25"/>
      <c r="M6" s="146" t="s">
        <v>1598</v>
      </c>
      <c r="N6" s="25"/>
      <c r="O6" s="152"/>
      <c r="P6" s="158"/>
      <c r="Q6" s="152"/>
      <c r="R6" s="152"/>
      <c r="S6" s="158"/>
      <c r="T6" s="14"/>
    </row>
    <row r="7" s="5" customFormat="1" ht="24" customHeight="1">
      <c r="A7" s="434"/>
      <c r="B7" s="152" t="s">
        <v>55</v>
      </c>
      <c r="C7" s="447">
        <f t="shared" ref="C7:I7" si="2845">C8+C24+C37+C48+C59+C74+C84+C96+C101+C113+C127+C134+C141+C148+C154+C159+C36+C47+C133</f>
        <v>73015.149999999994</v>
      </c>
      <c r="D7" s="447">
        <f t="shared" si="2845"/>
        <v>73015.149999999994</v>
      </c>
      <c r="E7" s="447">
        <f t="shared" si="2845"/>
        <v>0</v>
      </c>
      <c r="F7" s="447">
        <f t="shared" si="2845"/>
        <v>73015.149999999994</v>
      </c>
      <c r="G7" s="170">
        <f t="shared" si="2845"/>
        <v>43022.183796749901</v>
      </c>
      <c r="H7" s="170">
        <f t="shared" si="2845"/>
        <v>4800</v>
      </c>
      <c r="I7" s="170">
        <f t="shared" si="2845"/>
        <v>700</v>
      </c>
      <c r="J7" s="447">
        <f t="shared" ref="J7:S7" si="2846">J8+J24+J37+J48+J59+J74+J84+J96+J101+J113+J127+J134+J141+J148+J154+J159+J36+J47+J133</f>
        <v>-3910</v>
      </c>
      <c r="K7" s="448">
        <f t="shared" si="2846"/>
        <v>27402.959999999999</v>
      </c>
      <c r="L7" s="447">
        <f t="shared" si="2846"/>
        <v>0</v>
      </c>
      <c r="M7" s="447">
        <f t="shared" si="2846"/>
        <v>0</v>
      </c>
      <c r="N7" s="447">
        <f t="shared" si="2846"/>
        <v>0</v>
      </c>
      <c r="O7" s="447">
        <f t="shared" si="2846"/>
        <v>0</v>
      </c>
      <c r="P7" s="447">
        <f t="shared" si="2846"/>
        <v>0</v>
      </c>
      <c r="Q7" s="447">
        <f t="shared" si="2846"/>
        <v>0</v>
      </c>
      <c r="R7" s="447">
        <f t="shared" si="2846"/>
        <v>0</v>
      </c>
      <c r="S7" s="447">
        <f t="shared" si="2846"/>
        <v>0</v>
      </c>
      <c r="T7" s="449"/>
    </row>
    <row r="8" s="10" customFormat="1" ht="21" customHeight="1">
      <c r="A8" s="427"/>
      <c r="B8" s="431" t="s">
        <v>72</v>
      </c>
      <c r="C8" s="432">
        <f t="shared" ref="C8:I8" si="2847">SUM(C9:C23)</f>
        <v>951</v>
      </c>
      <c r="D8" s="432">
        <f t="shared" si="2847"/>
        <v>951</v>
      </c>
      <c r="E8" s="432">
        <f t="shared" si="2847"/>
        <v>0</v>
      </c>
      <c r="F8" s="432">
        <f t="shared" si="2847"/>
        <v>951</v>
      </c>
      <c r="G8" s="433">
        <f t="shared" si="2847"/>
        <v>908.76441324067605</v>
      </c>
      <c r="H8" s="433">
        <f t="shared" si="2847"/>
        <v>0</v>
      </c>
      <c r="I8" s="433">
        <f t="shared" si="2847"/>
        <v>100</v>
      </c>
      <c r="J8" s="432">
        <f t="shared" ref="J8:S8" si="2848">SUM(J9:J23)</f>
        <v>-250</v>
      </c>
      <c r="K8" s="450">
        <f t="shared" si="2848"/>
        <v>192.40221943313</v>
      </c>
      <c r="L8" s="432">
        <f t="shared" si="2848"/>
        <v>0</v>
      </c>
      <c r="M8" s="432">
        <f t="shared" si="2848"/>
        <v>0</v>
      </c>
      <c r="N8" s="432">
        <f t="shared" si="2848"/>
        <v>0</v>
      </c>
      <c r="O8" s="432">
        <f t="shared" si="2848"/>
        <v>0</v>
      </c>
      <c r="P8" s="432">
        <f t="shared" si="2848"/>
        <v>0</v>
      </c>
      <c r="Q8" s="432">
        <f t="shared" si="2848"/>
        <v>0</v>
      </c>
      <c r="R8" s="432">
        <f t="shared" si="2848"/>
        <v>0</v>
      </c>
      <c r="S8" s="432">
        <f t="shared" si="2848"/>
        <v>0</v>
      </c>
      <c r="T8" s="451"/>
      <c r="V8" s="5"/>
    </row>
    <row r="9" s="5" customFormat="1" ht="25" customHeight="1">
      <c r="A9" s="434">
        <v>1111</v>
      </c>
      <c r="B9" s="452" t="s">
        <v>74</v>
      </c>
      <c r="C9" s="436">
        <f t="shared" ref="C9:C23" si="2849">D9+M9+S9</f>
        <v>0</v>
      </c>
      <c r="D9" s="436">
        <f>E9+F9</f>
        <v>0</v>
      </c>
      <c r="E9" s="436"/>
      <c r="F9" s="436">
        <f>VLOOKUP(B9,[5]测算分配表!$B:$P,15,0)</f>
        <v>0</v>
      </c>
      <c r="G9" s="435">
        <f>VLOOKUP(B9,[5]测算分配表!$B:$H,7,0)</f>
        <v>0</v>
      </c>
      <c r="H9" s="435">
        <f>VLOOKUP(B9,[5]测算分配表!$B:$J,9,0)</f>
        <v>0</v>
      </c>
      <c r="I9" s="435">
        <f>VLOOKUP(B9,[5]测算分配表!$B:$K,10,0)</f>
        <v>0</v>
      </c>
      <c r="J9" s="436">
        <f>VLOOKUP(B9,[5]测算分配表!$B:$L,11,0)</f>
        <v>0</v>
      </c>
      <c r="K9" s="453">
        <f>VLOOKUP(B9,[5]测算分配表!$B:$N,13,0)</f>
        <v>0</v>
      </c>
      <c r="L9" s="436"/>
      <c r="M9" s="436"/>
      <c r="N9" s="436"/>
      <c r="O9" s="436"/>
      <c r="P9" s="436"/>
      <c r="Q9" s="436"/>
      <c r="R9" s="436"/>
      <c r="S9" s="436"/>
      <c r="T9" s="454" t="s">
        <v>1599</v>
      </c>
      <c r="U9" s="5">
        <f>VLOOKUP(B:B,[4]合计!$B:$C,2,0)</f>
        <v>0</v>
      </c>
      <c r="V9" s="5">
        <f>VLOOKUP(B:B,[4]合计!$B:$L,11,FALSE)</f>
        <v>0</v>
      </c>
    </row>
    <row r="10" s="5" customFormat="1" ht="18" customHeight="1">
      <c r="A10" s="85">
        <v>1</v>
      </c>
      <c r="B10" s="86" t="s">
        <v>59</v>
      </c>
      <c r="C10" s="436">
        <f t="shared" si="2849"/>
        <v>120</v>
      </c>
      <c r="D10" s="436">
        <f t="shared" ref="D10:D23" si="2850">E10+F10</f>
        <v>120</v>
      </c>
      <c r="E10" s="436"/>
      <c r="F10" s="436">
        <f>VLOOKUP(B10,[5]测算分配表!$B:$P,15,0)</f>
        <v>120</v>
      </c>
      <c r="G10" s="435">
        <f>VLOOKUP(B10,[5]测算分配表!$B:$H,7,0)</f>
        <v>119.78061550705399</v>
      </c>
      <c r="H10" s="435">
        <f>VLOOKUP(B10,[5]测算分配表!$B:$J,9,0)</f>
        <v>0</v>
      </c>
      <c r="I10" s="435">
        <f>VLOOKUP(B10,[5]测算分配表!$B:$K,10,0)</f>
        <v>0</v>
      </c>
      <c r="J10" s="436">
        <f>VLOOKUP(B10,[5]测算分配表!$B:$L,11,0)</f>
        <v>0</v>
      </c>
      <c r="K10" s="453">
        <f>VLOOKUP(B10,[5]测算分配表!$B:$N,13,0)</f>
        <v>0</v>
      </c>
      <c r="L10" s="436"/>
      <c r="M10" s="436"/>
      <c r="N10" s="436"/>
      <c r="O10" s="436"/>
      <c r="P10" s="436"/>
      <c r="Q10" s="436"/>
      <c r="R10" s="436"/>
      <c r="S10" s="436"/>
      <c r="T10" s="455"/>
      <c r="U10" s="5" t="str">
        <f>VLOOKUP(B:B,'[4]合计'!$B:$C,2,0)</f>
        <v>非贫困县</v>
      </c>
      <c r="V10" s="5">
        <f>VLOOKUP(B:B,'[4]合计'!$B:$L,11,FALSE)</f>
        <v>0</v>
      </c>
    </row>
    <row r="11" ht="18" customHeight="1">
      <c r="A11" s="85">
        <v>2</v>
      </c>
      <c r="B11" s="86" t="s">
        <v>57</v>
      </c>
      <c r="C11" s="436">
        <f t="shared" si="2849"/>
        <v>82</v>
      </c>
      <c r="D11" s="436">
        <f t="shared" si="2850"/>
        <v>82</v>
      </c>
      <c r="E11" s="436"/>
      <c r="F11" s="436">
        <f>VLOOKUP(B11,'[5]测算分配表'!$B:$P,15,0)</f>
        <v>82</v>
      </c>
      <c r="G11" s="435">
        <f>VLOOKUP(B11,'[5]测算分配表'!$B:$H,7,0)</f>
        <v>82.090827125152899</v>
      </c>
      <c r="H11" s="435">
        <f>VLOOKUP(B11,'[5]测算分配表'!$B:$J,9,0)</f>
        <v>0</v>
      </c>
      <c r="I11" s="435">
        <f>VLOOKUP(B11,'[5]测算分配表'!$B:$K,10,0)</f>
        <v>0</v>
      </c>
      <c r="J11" s="436">
        <f>VLOOKUP(B11,'[5]测算分配表'!$B:$L,11,0)</f>
        <v>0</v>
      </c>
      <c r="K11" s="453">
        <f>VLOOKUP(B11,'[5]测算分配表'!$B:$N,13,0)</f>
        <v>0</v>
      </c>
      <c r="L11" s="436"/>
      <c r="M11" s="436"/>
      <c r="N11" s="436"/>
      <c r="O11" s="436"/>
      <c r="P11" s="436"/>
      <c r="Q11" s="436"/>
      <c r="R11" s="436"/>
      <c r="S11" s="436"/>
      <c r="T11" s="455"/>
      <c r="U11" s="5" t="str">
        <f>VLOOKUP(B:B,'[4]合计'!$B:$C,2,0)</f>
        <v>非贫困县</v>
      </c>
      <c r="V11" s="5">
        <f>VLOOKUP(B:B,'[4]合计'!$B:$L,11,FALSE)</f>
        <v>0</v>
      </c>
    </row>
    <row r="12" ht="18" customHeight="1">
      <c r="A12" s="85">
        <v>3</v>
      </c>
      <c r="B12" s="86" t="s">
        <v>63</v>
      </c>
      <c r="C12" s="436">
        <f t="shared" si="2849"/>
        <v>0</v>
      </c>
      <c r="D12" s="436">
        <f t="shared" si="2850"/>
        <v>0</v>
      </c>
      <c r="E12" s="436"/>
      <c r="F12" s="436">
        <f>VLOOKUP(B12,'[5]测算分配表'!$B:$P,15,0)</f>
        <v>0</v>
      </c>
      <c r="G12" s="435">
        <f>VLOOKUP(B12,'[5]测算分配表'!$B:$H,7,0)</f>
        <v>0</v>
      </c>
      <c r="H12" s="435">
        <f>VLOOKUP(B12,'[5]测算分配表'!$B:$J,9,0)</f>
        <v>0</v>
      </c>
      <c r="I12" s="435">
        <f>VLOOKUP(B12,'[5]测算分配表'!$B:$K,10,0)</f>
        <v>0</v>
      </c>
      <c r="J12" s="436">
        <f>VLOOKUP(B12,'[5]测算分配表'!$B:$L,11,0)</f>
        <v>0</v>
      </c>
      <c r="K12" s="453">
        <f>VLOOKUP(B12,'[5]测算分配表'!$B:$N,13,0)</f>
        <v>0</v>
      </c>
      <c r="L12" s="436"/>
      <c r="M12" s="436"/>
      <c r="N12" s="436"/>
      <c r="O12" s="436"/>
      <c r="P12" s="436"/>
      <c r="Q12" s="436"/>
      <c r="R12" s="436"/>
      <c r="S12" s="436"/>
      <c r="T12" s="455"/>
      <c r="U12" s="5" t="str">
        <f>VLOOKUP(B:B,'[4]合计'!$B:$C,2,0)</f>
        <v>非贫困县</v>
      </c>
      <c r="V12" s="5">
        <f>VLOOKUP(B:B,'[4]合计'!$B:$L,11,FALSE)</f>
        <v>0</v>
      </c>
    </row>
    <row r="13" ht="18" customHeight="1">
      <c r="A13" s="85">
        <v>4</v>
      </c>
      <c r="B13" s="86" t="s">
        <v>61</v>
      </c>
      <c r="C13" s="436">
        <f t="shared" si="2849"/>
        <v>0</v>
      </c>
      <c r="D13" s="436">
        <f t="shared" si="2850"/>
        <v>0</v>
      </c>
      <c r="E13" s="436"/>
      <c r="F13" s="436">
        <f>VLOOKUP(B13,'[5]测算分配表'!$B:$P,15,0)</f>
        <v>0</v>
      </c>
      <c r="G13" s="435">
        <f>VLOOKUP(B13,'[5]测算分配表'!$B:$H,7,0)</f>
        <v>0</v>
      </c>
      <c r="H13" s="435">
        <f>VLOOKUP(B13,'[5]测算分配表'!$B:$J,9,0)</f>
        <v>0</v>
      </c>
      <c r="I13" s="435">
        <f>VLOOKUP(B13,'[5]测算分配表'!$B:$K,10,0)</f>
        <v>0</v>
      </c>
      <c r="J13" s="436">
        <f>VLOOKUP(B13,'[5]测算分配表'!$B:$L,11,0)</f>
        <v>0</v>
      </c>
      <c r="K13" s="453">
        <f>VLOOKUP(B13,'[5]测算分配表'!$B:$N,13,0)</f>
        <v>0</v>
      </c>
      <c r="L13" s="436"/>
      <c r="M13" s="436"/>
      <c r="N13" s="436"/>
      <c r="O13" s="436"/>
      <c r="P13" s="436"/>
      <c r="Q13" s="436"/>
      <c r="R13" s="436"/>
      <c r="S13" s="436"/>
      <c r="T13" s="455"/>
      <c r="U13" s="5" t="str">
        <f>VLOOKUP(B:B,'[4]合计'!$B:$C,2,0)</f>
        <v>非贫困县</v>
      </c>
      <c r="V13" s="5">
        <f>VLOOKUP(B:B,'[4]合计'!$B:$L,11,FALSE)</f>
        <v>0</v>
      </c>
    </row>
    <row r="14" ht="18" customHeight="1">
      <c r="A14" s="85">
        <v>5</v>
      </c>
      <c r="B14" s="86" t="s">
        <v>67</v>
      </c>
      <c r="C14" s="436">
        <f t="shared" si="2849"/>
        <v>78</v>
      </c>
      <c r="D14" s="436">
        <f t="shared" si="2850"/>
        <v>78</v>
      </c>
      <c r="E14" s="436"/>
      <c r="F14" s="436">
        <f>VLOOKUP(B14,'[5]测算分配表'!$B:$P,15,0)</f>
        <v>78</v>
      </c>
      <c r="G14" s="435">
        <f>VLOOKUP(B14,'[5]测算分配表'!$B:$H,7,0)</f>
        <v>77.579361634527402</v>
      </c>
      <c r="H14" s="435">
        <f>VLOOKUP(B14,'[5]测算分配表'!$B:$J,9,0)</f>
        <v>0</v>
      </c>
      <c r="I14" s="435">
        <f>VLOOKUP(B14,'[5]测算分配表'!$B:$K,10,0)</f>
        <v>0</v>
      </c>
      <c r="J14" s="436">
        <f>VLOOKUP(B14,'[5]测算分配表'!$B:$L,11,0)</f>
        <v>0</v>
      </c>
      <c r="K14" s="453">
        <f>VLOOKUP(B14,'[5]测算分配表'!$B:$N,13,0)</f>
        <v>0</v>
      </c>
      <c r="L14" s="436"/>
      <c r="M14" s="436"/>
      <c r="N14" s="436"/>
      <c r="O14" s="436"/>
      <c r="P14" s="436"/>
      <c r="Q14" s="436"/>
      <c r="R14" s="436"/>
      <c r="S14" s="436"/>
      <c r="T14" s="455"/>
      <c r="U14" s="5" t="str">
        <f>VLOOKUP(B:B,'[4]合计'!$B:$C,2,0)</f>
        <v>非贫困县</v>
      </c>
      <c r="V14" s="5">
        <f>VLOOKUP(B:B,'[4]合计'!$B:$L,11,FALSE)</f>
        <v>0</v>
      </c>
    </row>
    <row r="15" ht="18" customHeight="1">
      <c r="A15" s="85">
        <v>6</v>
      </c>
      <c r="B15" s="86" t="s">
        <v>81</v>
      </c>
      <c r="C15" s="436">
        <f t="shared" si="2849"/>
        <v>0</v>
      </c>
      <c r="D15" s="436">
        <f t="shared" si="2850"/>
        <v>0</v>
      </c>
      <c r="E15" s="436"/>
      <c r="F15" s="436">
        <f>VLOOKUP(B15,'[5]测算分配表'!$B:$P,15,0)</f>
        <v>0</v>
      </c>
      <c r="G15" s="435">
        <f>VLOOKUP(B15,'[5]测算分配表'!$B:$H,7,0)</f>
        <v>0</v>
      </c>
      <c r="H15" s="435">
        <f>VLOOKUP(B15,'[5]测算分配表'!$B:$J,9,0)</f>
        <v>0</v>
      </c>
      <c r="I15" s="435">
        <f>VLOOKUP(B15,'[5]测算分配表'!$B:$K,10,0)</f>
        <v>0</v>
      </c>
      <c r="J15" s="436">
        <f>VLOOKUP(B15,'[5]测算分配表'!$B:$L,11,0)</f>
        <v>0</v>
      </c>
      <c r="K15" s="453">
        <f>VLOOKUP(B15,'[5]测算分配表'!$B:$N,13,0)</f>
        <v>0</v>
      </c>
      <c r="L15" s="436"/>
      <c r="M15" s="436"/>
      <c r="N15" s="436"/>
      <c r="O15" s="436"/>
      <c r="P15" s="436"/>
      <c r="Q15" s="436"/>
      <c r="R15" s="436"/>
      <c r="S15" s="436"/>
      <c r="T15" s="455"/>
      <c r="U15" s="5" t="str">
        <f>VLOOKUP(B:B,'[4]合计'!$B:$C,2,0)</f>
        <v>非贫困县</v>
      </c>
      <c r="V15" s="5">
        <f>VLOOKUP(B:B,'[4]合计'!$B:$L,11,FALSE)</f>
        <v>0</v>
      </c>
    </row>
    <row r="16" ht="18" customHeight="1">
      <c r="A16" s="85">
        <v>7</v>
      </c>
      <c r="B16" s="86" t="s">
        <v>71</v>
      </c>
      <c r="C16" s="436">
        <f t="shared" si="2849"/>
        <v>0</v>
      </c>
      <c r="D16" s="436">
        <f t="shared" si="2850"/>
        <v>0</v>
      </c>
      <c r="E16" s="436"/>
      <c r="F16" s="436">
        <f>VLOOKUP(B16,'[5]测算分配表'!$B:$P,15,0)</f>
        <v>0</v>
      </c>
      <c r="G16" s="435">
        <f>VLOOKUP(B16,'[5]测算分配表'!$B:$H,7,0)</f>
        <v>0</v>
      </c>
      <c r="H16" s="435">
        <f>VLOOKUP(B16,'[5]测算分配表'!$B:$J,9,0)</f>
        <v>0</v>
      </c>
      <c r="I16" s="435">
        <f>VLOOKUP(B16,'[5]测算分配表'!$B:$K,10,0)</f>
        <v>0</v>
      </c>
      <c r="J16" s="436">
        <f>VLOOKUP(B16,'[5]测算分配表'!$B:$L,11,0)</f>
        <v>0</v>
      </c>
      <c r="K16" s="453">
        <f>VLOOKUP(B16,'[5]测算分配表'!$B:$N,13,0)</f>
        <v>0</v>
      </c>
      <c r="L16" s="436"/>
      <c r="M16" s="436"/>
      <c r="N16" s="436"/>
      <c r="O16" s="436"/>
      <c r="P16" s="436"/>
      <c r="Q16" s="436"/>
      <c r="R16" s="436"/>
      <c r="S16" s="436"/>
      <c r="T16" s="455"/>
      <c r="U16" s="5" t="str">
        <f>VLOOKUP(B:B,'[4]合计'!$B:$C,2,0)</f>
        <v>非贫困县</v>
      </c>
      <c r="V16" s="5">
        <f>VLOOKUP(B:B,'[4]合计'!$B:$L,11,FALSE)</f>
        <v>0</v>
      </c>
    </row>
    <row r="17" s="5" customFormat="1" ht="18" customHeight="1">
      <c r="A17" s="85">
        <v>8</v>
      </c>
      <c r="B17" s="86" t="s">
        <v>69</v>
      </c>
      <c r="C17" s="436">
        <f t="shared" si="2849"/>
        <v>28</v>
      </c>
      <c r="D17" s="436">
        <f t="shared" si="2850"/>
        <v>28</v>
      </c>
      <c r="E17" s="436"/>
      <c r="F17" s="436">
        <f>VLOOKUP(B17,'[5]测算分配表'!$B:$P,15,0)</f>
        <v>28</v>
      </c>
      <c r="G17" s="435">
        <f>VLOOKUP(B17,'[5]测算分配表'!$B:$H,7,0)</f>
        <v>127.81404478631499</v>
      </c>
      <c r="H17" s="435">
        <f>VLOOKUP(B17,'[5]测算分配表'!$B:$J,9,0)</f>
        <v>0</v>
      </c>
      <c r="I17" s="435">
        <f>VLOOKUP(B17,'[5]测算分配表'!$B:$K,10,0)</f>
        <v>0</v>
      </c>
      <c r="J17" s="436">
        <f>VLOOKUP(B17,'[5]测算分配表'!$B:$L,11,0)</f>
        <v>-100</v>
      </c>
      <c r="K17" s="453">
        <f>VLOOKUP(B17,'[5]测算分配表'!$B:$N,13,0)</f>
        <v>0</v>
      </c>
      <c r="L17" s="436"/>
      <c r="M17" s="436"/>
      <c r="N17" s="436"/>
      <c r="O17" s="436"/>
      <c r="P17" s="436"/>
      <c r="Q17" s="436"/>
      <c r="R17" s="436"/>
      <c r="S17" s="436"/>
      <c r="T17" s="455"/>
      <c r="U17" s="5" t="str">
        <f>VLOOKUP(B:B,'[4]合计'!$B:$C,2,0)</f>
        <v>非贫困县</v>
      </c>
      <c r="V17" s="5">
        <f>VLOOKUP(B:B,'[4]合计'!$B:$L,11,FALSE)</f>
        <v>0</v>
      </c>
    </row>
    <row r="18" ht="18" customHeight="1">
      <c r="A18" s="85">
        <v>9</v>
      </c>
      <c r="B18" s="86" t="s">
        <v>73</v>
      </c>
      <c r="C18" s="436">
        <f t="shared" si="2849"/>
        <v>107</v>
      </c>
      <c r="D18" s="436">
        <f t="shared" si="2850"/>
        <v>107</v>
      </c>
      <c r="E18" s="436"/>
      <c r="F18" s="436">
        <f>VLOOKUP(B18,'[5]测算分配表'!$B:$P,15,0)</f>
        <v>107</v>
      </c>
      <c r="G18" s="435">
        <f>VLOOKUP(B18,'[5]测算分配表'!$B:$H,7,0)</f>
        <v>107.48894309300501</v>
      </c>
      <c r="H18" s="435">
        <f>VLOOKUP(B18,'[5]测算分配表'!$B:$J,9,0)</f>
        <v>0</v>
      </c>
      <c r="I18" s="435">
        <f>VLOOKUP(B18,'[5]测算分配表'!$B:$K,10,0)</f>
        <v>0</v>
      </c>
      <c r="J18" s="436">
        <f>VLOOKUP(B18,'[5]测算分配表'!$B:$L,11,0)</f>
        <v>0</v>
      </c>
      <c r="K18" s="453">
        <f>VLOOKUP(B18,'[5]测算分配表'!$B:$N,13,0)</f>
        <v>0</v>
      </c>
      <c r="L18" s="436"/>
      <c r="M18" s="436"/>
      <c r="N18" s="436"/>
      <c r="O18" s="436"/>
      <c r="P18" s="436"/>
      <c r="Q18" s="436"/>
      <c r="R18" s="436"/>
      <c r="S18" s="436"/>
      <c r="T18" s="455"/>
      <c r="U18" s="5" t="str">
        <f>VLOOKUP(B:B,'[4]合计'!$B:$C,2,0)</f>
        <v>非贫困县</v>
      </c>
      <c r="V18" s="5">
        <f>VLOOKUP(B:B,'[4]合计'!$B:$L,11,FALSE)</f>
        <v>0</v>
      </c>
    </row>
    <row r="19" ht="18" customHeight="1">
      <c r="A19" s="85">
        <v>10</v>
      </c>
      <c r="B19" s="86" t="s">
        <v>75</v>
      </c>
      <c r="C19" s="436">
        <f t="shared" si="2849"/>
        <v>142</v>
      </c>
      <c r="D19" s="436">
        <f t="shared" si="2850"/>
        <v>142</v>
      </c>
      <c r="E19" s="436"/>
      <c r="F19" s="436">
        <f>VLOOKUP(B19,'[5]测算分配表'!$B:$P,15,0)</f>
        <v>142</v>
      </c>
      <c r="G19" s="435">
        <f>VLOOKUP(B19,'[5]测算分配表'!$B:$H,7,0)</f>
        <v>0</v>
      </c>
      <c r="H19" s="435">
        <f>VLOOKUP(B19,'[5]测算分配表'!$B:$J,9,0)</f>
        <v>0</v>
      </c>
      <c r="I19" s="435">
        <f>VLOOKUP(B19,'[5]测算分配表'!$B:$K,10,0)</f>
        <v>0</v>
      </c>
      <c r="J19" s="436">
        <f>VLOOKUP(B19,'[5]测算分配表'!$B:$L,11,0)</f>
        <v>-50</v>
      </c>
      <c r="K19" s="453">
        <f>VLOOKUP(B19,'[5]测算分配表'!$B:$N,13,0)</f>
        <v>192.40221943313</v>
      </c>
      <c r="L19" s="436"/>
      <c r="M19" s="436"/>
      <c r="N19" s="436"/>
      <c r="O19" s="436"/>
      <c r="P19" s="436"/>
      <c r="Q19" s="436"/>
      <c r="R19" s="436"/>
      <c r="S19" s="436"/>
      <c r="T19" s="455"/>
      <c r="U19" s="5" t="str">
        <f>VLOOKUP(B:B,'[4]合计'!$B:$C,2,0)</f>
        <v>非贫困县</v>
      </c>
      <c r="V19" s="5">
        <f>VLOOKUP(B:B,'[4]合计'!$B:$L,11,FALSE)</f>
        <v>0</v>
      </c>
    </row>
    <row r="20" ht="18" customHeight="1">
      <c r="A20" s="85">
        <v>11</v>
      </c>
      <c r="B20" s="86" t="s">
        <v>77</v>
      </c>
      <c r="C20" s="436">
        <f t="shared" si="2849"/>
        <v>0</v>
      </c>
      <c r="D20" s="436">
        <f t="shared" si="2850"/>
        <v>0</v>
      </c>
      <c r="E20" s="436"/>
      <c r="F20" s="436">
        <f>VLOOKUP(B20,'[5]测算分配表'!$B:$P,15,0)</f>
        <v>0</v>
      </c>
      <c r="G20" s="435">
        <f>VLOOKUP(B20,'[5]测算分配表'!$B:$H,7,0)</f>
        <v>0</v>
      </c>
      <c r="H20" s="435">
        <f>VLOOKUP(B20,'[5]测算分配表'!$B:$J,9,0)</f>
        <v>0</v>
      </c>
      <c r="I20" s="435">
        <f>VLOOKUP(B20,'[5]测算分配表'!$B:$K,10,0)</f>
        <v>0</v>
      </c>
      <c r="J20" s="436">
        <f>VLOOKUP(B20,'[5]测算分配表'!$B:$L,11,0)</f>
        <v>0</v>
      </c>
      <c r="K20" s="453">
        <f>VLOOKUP(B20,'[5]测算分配表'!$B:$N,13,0)</f>
        <v>0</v>
      </c>
      <c r="L20" s="436"/>
      <c r="M20" s="436"/>
      <c r="N20" s="436"/>
      <c r="O20" s="436"/>
      <c r="P20" s="436"/>
      <c r="Q20" s="436"/>
      <c r="R20" s="436"/>
      <c r="S20" s="436"/>
      <c r="T20" s="455"/>
      <c r="U20" s="5" t="str">
        <f>VLOOKUP(B:B,'[4]合计'!$B:$C,2,0)</f>
        <v>非贫困县</v>
      </c>
      <c r="V20" s="5">
        <f>VLOOKUP(B:B,'[4]合计'!$B:$L,11,FALSE)</f>
        <v>0</v>
      </c>
    </row>
    <row r="21" ht="18" customHeight="1">
      <c r="A21" s="85">
        <v>12</v>
      </c>
      <c r="B21" s="86" t="s">
        <v>79</v>
      </c>
      <c r="C21" s="436">
        <f t="shared" si="2849"/>
        <v>0</v>
      </c>
      <c r="D21" s="436">
        <f t="shared" si="2850"/>
        <v>0</v>
      </c>
      <c r="E21" s="436"/>
      <c r="F21" s="436">
        <f>VLOOKUP(B21,'[5]测算分配表'!$B:$P,15,0)</f>
        <v>0</v>
      </c>
      <c r="G21" s="435">
        <f>VLOOKUP(B21,'[5]测算分配表'!$B:$H,7,0)</f>
        <v>0</v>
      </c>
      <c r="H21" s="435">
        <f>VLOOKUP(B21,'[5]测算分配表'!$B:$J,9,0)</f>
        <v>0</v>
      </c>
      <c r="I21" s="435">
        <f>VLOOKUP(B21,'[5]测算分配表'!$B:$K,10,0)</f>
        <v>0</v>
      </c>
      <c r="J21" s="436">
        <f>VLOOKUP(B21,'[5]测算分配表'!$B:$L,11,0)</f>
        <v>0</v>
      </c>
      <c r="K21" s="453">
        <f>VLOOKUP(B21,'[5]测算分配表'!$B:$N,13,0)</f>
        <v>0</v>
      </c>
      <c r="L21" s="436"/>
      <c r="M21" s="436"/>
      <c r="N21" s="436"/>
      <c r="O21" s="436"/>
      <c r="P21" s="436"/>
      <c r="Q21" s="436"/>
      <c r="R21" s="436"/>
      <c r="S21" s="436"/>
      <c r="T21" s="455"/>
      <c r="U21" s="5" t="str">
        <f>VLOOKUP(B:B,'[4]合计'!$B:$C,2,0)</f>
        <v>贫困</v>
      </c>
      <c r="V21" s="5" t="str">
        <f>VLOOKUP(B:B,'[4]合计'!$B:$L,11,FALSE)</f>
        <v>省级</v>
      </c>
    </row>
    <row r="22" s="84" customFormat="1" ht="18" customHeight="1">
      <c r="A22" s="85">
        <v>13</v>
      </c>
      <c r="B22" s="86" t="s">
        <v>65</v>
      </c>
      <c r="C22" s="436">
        <f t="shared" si="2849"/>
        <v>0</v>
      </c>
      <c r="D22" s="436">
        <f t="shared" si="2850"/>
        <v>0</v>
      </c>
      <c r="E22" s="436"/>
      <c r="F22" s="436">
        <f>VLOOKUP(B22,'[5]测算分配表'!$B:$P,15,0)</f>
        <v>0</v>
      </c>
      <c r="G22" s="435">
        <f>VLOOKUP(B22,'[5]测算分配表'!$B:$H,7,0)</f>
        <v>0</v>
      </c>
      <c r="H22" s="435">
        <f>VLOOKUP(B22,'[5]测算分配表'!$B:$J,9,0)</f>
        <v>0</v>
      </c>
      <c r="I22" s="435">
        <f>VLOOKUP(B22,'[5]测算分配表'!$B:$K,10,0)</f>
        <v>0</v>
      </c>
      <c r="J22" s="436">
        <f>VLOOKUP(B22,'[5]测算分配表'!$B:$L,11,0)</f>
        <v>0</v>
      </c>
      <c r="K22" s="453">
        <f>VLOOKUP(B22,'[5]测算分配表'!$B:$N,13,0)</f>
        <v>0</v>
      </c>
      <c r="L22" s="436"/>
      <c r="M22" s="436"/>
      <c r="N22" s="436"/>
      <c r="O22" s="436"/>
      <c r="P22" s="436"/>
      <c r="Q22" s="436"/>
      <c r="R22" s="436"/>
      <c r="S22" s="436"/>
      <c r="T22" s="455"/>
      <c r="U22" s="5" t="str">
        <f>VLOOKUP(B:B,'[4]合计'!$B:$C,2,0)</f>
        <v>深度贫困</v>
      </c>
      <c r="V22" s="5" t="str">
        <f>VLOOKUP(B:B,'[4]合计'!$B:$L,11,FALSE)</f>
        <v>国家级</v>
      </c>
    </row>
    <row r="23" ht="18" customHeight="1">
      <c r="A23" s="85">
        <v>14</v>
      </c>
      <c r="B23" s="86" t="s">
        <v>80</v>
      </c>
      <c r="C23" s="436">
        <f t="shared" si="2849"/>
        <v>394</v>
      </c>
      <c r="D23" s="436">
        <f t="shared" si="2850"/>
        <v>394</v>
      </c>
      <c r="E23" s="436"/>
      <c r="F23" s="436">
        <f>VLOOKUP(B23,'[5]测算分配表'!$B:$P,15,0)</f>
        <v>394</v>
      </c>
      <c r="G23" s="435">
        <f>VLOOKUP(B23,'[5]测算分配表'!$B:$H,7,0)</f>
        <v>394.01062109462202</v>
      </c>
      <c r="H23" s="435">
        <f>VLOOKUP(B23,'[5]测算分配表'!$B:$J,9,0)</f>
        <v>0</v>
      </c>
      <c r="I23" s="435">
        <f>VLOOKUP(B23,'[5]测算分配表'!$B:$K,10,0)</f>
        <v>100</v>
      </c>
      <c r="J23" s="436">
        <f>VLOOKUP(B23,'[5]测算分配表'!$B:$L,11,0)</f>
        <v>-100</v>
      </c>
      <c r="K23" s="453">
        <f>VLOOKUP(B23,'[5]测算分配表'!$B:$N,13,0)</f>
        <v>0</v>
      </c>
      <c r="L23" s="436"/>
      <c r="M23" s="436"/>
      <c r="N23" s="436"/>
      <c r="O23" s="436"/>
      <c r="P23" s="436"/>
      <c r="Q23" s="436"/>
      <c r="R23" s="436"/>
      <c r="S23" s="436"/>
      <c r="T23" s="455"/>
      <c r="U23" s="5" t="str">
        <f>VLOOKUP(B:B,'[4]合计'!$B:$C,2,0)</f>
        <v>贫困</v>
      </c>
      <c r="V23" s="5" t="str">
        <f>VLOOKUP(B:B,'[4]合计'!$B:$L,11,FALSE)</f>
        <v>省级</v>
      </c>
    </row>
    <row r="24" s="10" customFormat="1" ht="18" customHeight="1">
      <c r="A24" s="427"/>
      <c r="B24" s="431" t="s">
        <v>82</v>
      </c>
      <c r="C24" s="432">
        <f t="shared" ref="C24:I24" si="2851">SUM(C25:C35)</f>
        <v>13542.08</v>
      </c>
      <c r="D24" s="432">
        <f t="shared" si="2851"/>
        <v>13542.08</v>
      </c>
      <c r="E24" s="432">
        <f t="shared" si="2851"/>
        <v>0</v>
      </c>
      <c r="F24" s="432">
        <f t="shared" si="2851"/>
        <v>13542.08</v>
      </c>
      <c r="G24" s="433">
        <f t="shared" si="2851"/>
        <v>7742.9306237769997</v>
      </c>
      <c r="H24" s="433">
        <f t="shared" si="2851"/>
        <v>1200</v>
      </c>
      <c r="I24" s="433">
        <f t="shared" si="2851"/>
        <v>0</v>
      </c>
      <c r="J24" s="432">
        <f t="shared" ref="J24:S24" si="2852">SUM(J25:J35)</f>
        <v>-450</v>
      </c>
      <c r="K24" s="450">
        <f t="shared" si="2852"/>
        <v>5047.5061040524897</v>
      </c>
      <c r="L24" s="432">
        <f t="shared" si="2852"/>
        <v>0</v>
      </c>
      <c r="M24" s="432">
        <f t="shared" si="2852"/>
        <v>0</v>
      </c>
      <c r="N24" s="432">
        <f t="shared" si="2852"/>
        <v>0</v>
      </c>
      <c r="O24" s="432">
        <f t="shared" si="2852"/>
        <v>0</v>
      </c>
      <c r="P24" s="432">
        <f t="shared" si="2852"/>
        <v>0</v>
      </c>
      <c r="Q24" s="432">
        <f t="shared" si="2852"/>
        <v>0</v>
      </c>
      <c r="R24" s="432">
        <f t="shared" si="2852"/>
        <v>0</v>
      </c>
      <c r="S24" s="432">
        <f t="shared" si="2852"/>
        <v>0</v>
      </c>
      <c r="T24" s="14"/>
      <c r="U24" s="5">
        <f>VLOOKUP(B:B,'[4]合计'!$B:$C,2,0)</f>
        <v>0</v>
      </c>
      <c r="V24" s="5">
        <f>VLOOKUP(B:B,'[4]合计'!$B:$L,11,FALSE)</f>
        <v>0</v>
      </c>
    </row>
    <row r="25" s="5" customFormat="1" ht="18" customHeight="1">
      <c r="A25" s="434">
        <v>1111</v>
      </c>
      <c r="B25" s="452" t="s">
        <v>83</v>
      </c>
      <c r="C25" s="436">
        <f t="shared" ref="C25:C36" si="2853">D25+M25+S25</f>
        <v>1354</v>
      </c>
      <c r="D25" s="436">
        <f t="shared" ref="D25:D36" si="2854">E25+F25</f>
        <v>1354</v>
      </c>
      <c r="E25" s="436">
        <v>1354</v>
      </c>
      <c r="F25" s="436">
        <f>VLOOKUP(B25,[5]测算分配表!$B:$P,15,0)</f>
        <v>0</v>
      </c>
      <c r="G25" s="435">
        <f>VLOOKUP(B25,[5]测算分配表!$B:$H,7,0)</f>
        <v>0</v>
      </c>
      <c r="H25" s="435">
        <f>VLOOKUP(B25,[5]测算分配表!$B:$J,9,0)</f>
        <v>0</v>
      </c>
      <c r="I25" s="435">
        <f>VLOOKUP(B25,[5]测算分配表!$B:$K,10,0)</f>
        <v>0</v>
      </c>
      <c r="J25" s="436">
        <f>VLOOKUP(B25,[5]测算分配表!$B:$L,11,0)</f>
        <v>0</v>
      </c>
      <c r="K25" s="453">
        <f>VLOOKUP(B25,[5]测算分配表!$B:$N,13,0)</f>
        <v>0</v>
      </c>
      <c r="L25" s="436"/>
      <c r="M25" s="436"/>
      <c r="N25" s="436"/>
      <c r="O25" s="436"/>
      <c r="P25" s="436"/>
      <c r="Q25" s="436"/>
      <c r="R25" s="436"/>
      <c r="S25" s="436"/>
      <c r="T25" s="455"/>
      <c r="U25" s="5">
        <f>VLOOKUP(B:B,'[4]合计'!$B:$C,2,0)</f>
        <v>0</v>
      </c>
      <c r="V25" s="5">
        <f>VLOOKUP(B:B,'[4]合计'!$B:$L,11,FALSE)</f>
        <v>0</v>
      </c>
    </row>
    <row r="26" ht="18" customHeight="1">
      <c r="A26" s="85">
        <v>15</v>
      </c>
      <c r="B26" s="86" t="s">
        <v>84</v>
      </c>
      <c r="C26" s="436">
        <f t="shared" si="2853"/>
        <v>2692</v>
      </c>
      <c r="D26" s="436">
        <f t="shared" si="2854"/>
        <v>2692</v>
      </c>
      <c r="E26" s="436">
        <f t="shared" ref="E26:E35" si="2855">-ROUND(F26*0.1,0)</f>
        <v>-299</v>
      </c>
      <c r="F26" s="436">
        <f>VLOOKUP(B26,'[5]测算分配表'!$B:$P,15,0)</f>
        <v>2991</v>
      </c>
      <c r="G26" s="435">
        <f>VLOOKUP(B26,'[5]测算分配表'!$B:$H,7,0)</f>
        <v>1258.3426271903099</v>
      </c>
      <c r="H26" s="435">
        <f>VLOOKUP(B26,'[5]测算分配表'!$B:$J,9,0)</f>
        <v>0</v>
      </c>
      <c r="I26" s="435">
        <f>VLOOKUP(B26,'[5]测算分配表'!$B:$K,10,0)</f>
        <v>0</v>
      </c>
      <c r="J26" s="436">
        <f>VLOOKUP(B26,'[5]测算分配表'!$B:$L,11,0)</f>
        <v>-50</v>
      </c>
      <c r="K26" s="453">
        <f>VLOOKUP(B26,'[5]测算分配表'!$B:$N,13,0)</f>
        <v>1782.55107239718</v>
      </c>
      <c r="L26" s="436"/>
      <c r="M26" s="436"/>
      <c r="N26" s="436"/>
      <c r="O26" s="436"/>
      <c r="P26" s="436"/>
      <c r="Q26" s="436"/>
      <c r="R26" s="436"/>
      <c r="S26" s="436"/>
      <c r="T26" s="455"/>
      <c r="U26" s="5" t="str">
        <f>VLOOKUP(B:B,'[4]合计'!$B:$C,2,0)</f>
        <v>深度贫困</v>
      </c>
      <c r="V26" s="5" t="str">
        <f>VLOOKUP(B:B,'[4]合计'!$B:$L,11,FALSE)</f>
        <v>国家级</v>
      </c>
    </row>
    <row r="27" ht="18" customHeight="1">
      <c r="A27" s="85">
        <v>16</v>
      </c>
      <c r="B27" s="86" t="s">
        <v>85</v>
      </c>
      <c r="C27" s="436">
        <f t="shared" si="2853"/>
        <v>2665</v>
      </c>
      <c r="D27" s="436">
        <f t="shared" si="2854"/>
        <v>2665</v>
      </c>
      <c r="E27" s="436">
        <f t="shared" si="2855"/>
        <v>-296</v>
      </c>
      <c r="F27" s="436">
        <f>VLOOKUP(B27,'[5]测算分配表'!$B:$P,15,0)</f>
        <v>2961</v>
      </c>
      <c r="G27" s="435">
        <f>VLOOKUP(B27,'[5]测算分配表'!$B:$H,7,0)</f>
        <v>995.61448187116605</v>
      </c>
      <c r="H27" s="435">
        <f>VLOOKUP(B27,'[5]测算分配表'!$B:$J,9,0)</f>
        <v>200</v>
      </c>
      <c r="I27" s="435">
        <f>VLOOKUP(B27,'[5]测算分配表'!$B:$K,10,0)</f>
        <v>0</v>
      </c>
      <c r="J27" s="436">
        <f>VLOOKUP(B27,'[5]测算分配表'!$B:$L,11,0)</f>
        <v>-50</v>
      </c>
      <c r="K27" s="453">
        <f>VLOOKUP(B27,'[5]测算分配表'!$B:$N,13,0)</f>
        <v>1815.0546676348699</v>
      </c>
      <c r="L27" s="436"/>
      <c r="M27" s="436"/>
      <c r="N27" s="436"/>
      <c r="O27" s="436"/>
      <c r="P27" s="436"/>
      <c r="Q27" s="436"/>
      <c r="R27" s="436"/>
      <c r="S27" s="436"/>
      <c r="T27" s="455"/>
      <c r="U27" s="5" t="str">
        <f>VLOOKUP(B:B,'[4]合计'!$B:$C,2,0)</f>
        <v>深度贫困</v>
      </c>
      <c r="V27" s="5" t="str">
        <f>VLOOKUP(B:B,'[4]合计'!$B:$L,11,FALSE)</f>
        <v>国家级</v>
      </c>
    </row>
    <row r="28" ht="18" customHeight="1">
      <c r="A28" s="85">
        <v>17</v>
      </c>
      <c r="B28" s="86" t="s">
        <v>86</v>
      </c>
      <c r="C28" s="436">
        <f t="shared" si="2853"/>
        <v>620</v>
      </c>
      <c r="D28" s="436">
        <f t="shared" si="2854"/>
        <v>620</v>
      </c>
      <c r="E28" s="436">
        <f t="shared" si="2855"/>
        <v>-69</v>
      </c>
      <c r="F28" s="436">
        <f>VLOOKUP(B28,'[5]测算分配表'!$B:$P,15,0)</f>
        <v>689</v>
      </c>
      <c r="G28" s="435">
        <f>VLOOKUP(B28,'[5]测算分配表'!$B:$H,7,0)</f>
        <v>739.49846073118294</v>
      </c>
      <c r="H28" s="435">
        <f>VLOOKUP(B28,'[5]测算分配表'!$B:$J,9,0)</f>
        <v>0</v>
      </c>
      <c r="I28" s="435">
        <f>VLOOKUP(B28,'[5]测算分配表'!$B:$K,10,0)</f>
        <v>0</v>
      </c>
      <c r="J28" s="436">
        <f>VLOOKUP(B28,'[5]测算分配表'!$B:$L,11,0)</f>
        <v>-50</v>
      </c>
      <c r="K28" s="453">
        <f>VLOOKUP(B28,'[5]测算分配表'!$B:$N,13,0)</f>
        <v>0</v>
      </c>
      <c r="L28" s="436"/>
      <c r="M28" s="436"/>
      <c r="N28" s="436"/>
      <c r="O28" s="436"/>
      <c r="P28" s="436"/>
      <c r="Q28" s="436"/>
      <c r="R28" s="436"/>
      <c r="S28" s="436"/>
      <c r="T28" s="455"/>
      <c r="U28" s="5" t="str">
        <f>VLOOKUP(B:B,'[4]合计'!$B:$C,2,0)</f>
        <v>深度贫困</v>
      </c>
      <c r="V28" s="5" t="str">
        <f>VLOOKUP(B:B,'[4]合计'!$B:$L,11,FALSE)</f>
        <v>国家级</v>
      </c>
    </row>
    <row r="29" ht="18" customHeight="1">
      <c r="A29" s="85">
        <v>18</v>
      </c>
      <c r="B29" s="86" t="s">
        <v>87</v>
      </c>
      <c r="C29" s="436">
        <f t="shared" si="2853"/>
        <v>804</v>
      </c>
      <c r="D29" s="436">
        <f t="shared" si="2854"/>
        <v>804</v>
      </c>
      <c r="E29" s="436">
        <f t="shared" si="2855"/>
        <v>-89</v>
      </c>
      <c r="F29" s="436">
        <f>VLOOKUP(B29,'[5]测算分配表'!$B:$P,15,0)</f>
        <v>893</v>
      </c>
      <c r="G29" s="435">
        <f>VLOOKUP(B29,'[5]测算分配表'!$B:$H,7,0)</f>
        <v>743.41492496855096</v>
      </c>
      <c r="H29" s="435">
        <f>VLOOKUP(B29,'[5]测算分配表'!$B:$J,9,0)</f>
        <v>200</v>
      </c>
      <c r="I29" s="435">
        <f>VLOOKUP(B29,'[5]测算分配表'!$B:$K,10,0)</f>
        <v>0</v>
      </c>
      <c r="J29" s="436">
        <f>VLOOKUP(B29,'[5]测算分配表'!$B:$L,11,0)</f>
        <v>-50</v>
      </c>
      <c r="K29" s="453">
        <f>VLOOKUP(B29,'[5]测算分配表'!$B:$N,13,0)</f>
        <v>0</v>
      </c>
      <c r="L29" s="436"/>
      <c r="M29" s="436"/>
      <c r="N29" s="436"/>
      <c r="O29" s="436"/>
      <c r="P29" s="436"/>
      <c r="Q29" s="436"/>
      <c r="R29" s="436"/>
      <c r="S29" s="436"/>
      <c r="T29" s="455"/>
      <c r="U29" s="5" t="str">
        <f>VLOOKUP(B:B,'[4]合计'!$B:$C,2,0)</f>
        <v>贫困</v>
      </c>
      <c r="V29" s="5" t="str">
        <f>VLOOKUP(B:B,'[4]合计'!$B:$L,11,FALSE)</f>
        <v>国家级</v>
      </c>
    </row>
    <row r="30" ht="18" customHeight="1">
      <c r="A30" s="85">
        <v>19</v>
      </c>
      <c r="B30" s="86" t="s">
        <v>88</v>
      </c>
      <c r="C30" s="436">
        <f t="shared" si="2853"/>
        <v>1189.0799999999999</v>
      </c>
      <c r="D30" s="436">
        <f t="shared" si="2854"/>
        <v>1189.0799999999999</v>
      </c>
      <c r="E30" s="436">
        <f t="shared" si="2855"/>
        <v>-132</v>
      </c>
      <c r="F30" s="436">
        <f>VLOOKUP(B30,'[5]测算分配表'!$B:$P,15,0)</f>
        <v>1321.0799999999999</v>
      </c>
      <c r="G30" s="435">
        <f>VLOOKUP(B30,'[5]测算分配表'!$B:$H,7,0)</f>
        <v>944.72033034411095</v>
      </c>
      <c r="H30" s="435">
        <f>VLOOKUP(B30,'[5]测算分配表'!$B:$J,9,0)</f>
        <v>200</v>
      </c>
      <c r="I30" s="435">
        <f>VLOOKUP(B30,'[5]测算分配表'!$B:$K,10,0)</f>
        <v>0</v>
      </c>
      <c r="J30" s="436">
        <f>VLOOKUP(B30,'[5]测算分配表'!$B:$L,11,0)</f>
        <v>0</v>
      </c>
      <c r="K30" s="453">
        <f>VLOOKUP(B30,'[5]测算分配表'!$B:$N,13,0)</f>
        <v>173.64693405320301</v>
      </c>
      <c r="L30" s="436"/>
      <c r="M30" s="436"/>
      <c r="N30" s="436"/>
      <c r="O30" s="436"/>
      <c r="P30" s="436"/>
      <c r="Q30" s="436"/>
      <c r="R30" s="436"/>
      <c r="S30" s="436"/>
      <c r="T30" s="455"/>
      <c r="U30" s="5" t="str">
        <f>VLOOKUP(B:B,'[4]合计'!$B:$C,2,0)</f>
        <v>深度贫困</v>
      </c>
      <c r="V30" s="5" t="str">
        <f>VLOOKUP(B:B,'[4]合计'!$B:$L,11,FALSE)</f>
        <v>国家级</v>
      </c>
    </row>
    <row r="31" ht="18" customHeight="1">
      <c r="A31" s="85">
        <v>20</v>
      </c>
      <c r="B31" s="86" t="s">
        <v>89</v>
      </c>
      <c r="C31" s="436">
        <f t="shared" si="2853"/>
        <v>1964</v>
      </c>
      <c r="D31" s="436">
        <f t="shared" si="2854"/>
        <v>1964</v>
      </c>
      <c r="E31" s="436">
        <f t="shared" si="2855"/>
        <v>-218</v>
      </c>
      <c r="F31" s="436">
        <f>VLOOKUP(B31,'[5]测算分配表'!$B:$P,15,0)</f>
        <v>2182</v>
      </c>
      <c r="G31" s="435">
        <f>VLOOKUP(B31,'[5]测算分配表'!$B:$H,7,0)</f>
        <v>892.52255978080404</v>
      </c>
      <c r="H31" s="435">
        <f>VLOOKUP(B31,'[5]测算分配表'!$B:$J,9,0)</f>
        <v>200</v>
      </c>
      <c r="I31" s="435">
        <f>VLOOKUP(B31,'[5]测算分配表'!$B:$K,10,0)</f>
        <v>0</v>
      </c>
      <c r="J31" s="436">
        <f>VLOOKUP(B31,'[5]测算分配表'!$B:$L,11,0)</f>
        <v>-50</v>
      </c>
      <c r="K31" s="453">
        <f>VLOOKUP(B31,'[5]测算分配表'!$B:$N,13,0)</f>
        <v>1139.13312505357</v>
      </c>
      <c r="L31" s="436"/>
      <c r="M31" s="436"/>
      <c r="N31" s="436"/>
      <c r="O31" s="436"/>
      <c r="P31" s="436"/>
      <c r="Q31" s="436"/>
      <c r="R31" s="436"/>
      <c r="S31" s="436"/>
      <c r="T31" s="455"/>
      <c r="U31" s="5" t="str">
        <f>VLOOKUP(B:B,'[4]合计'!$B:$C,2,0)</f>
        <v>深度贫困</v>
      </c>
      <c r="V31" s="5" t="str">
        <f>VLOOKUP(B:B,'[4]合计'!$B:$L,11,FALSE)</f>
        <v>国家级</v>
      </c>
    </row>
    <row r="32" ht="18" customHeight="1">
      <c r="A32" s="85">
        <v>21</v>
      </c>
      <c r="B32" s="86" t="s">
        <v>92</v>
      </c>
      <c r="C32" s="436">
        <f t="shared" si="2853"/>
        <v>457</v>
      </c>
      <c r="D32" s="436">
        <f t="shared" si="2854"/>
        <v>457</v>
      </c>
      <c r="E32" s="436">
        <f t="shared" si="2855"/>
        <v>-51</v>
      </c>
      <c r="F32" s="436">
        <f>VLOOKUP(B32,'[5]测算分配表'!$B:$P,15,0)</f>
        <v>508</v>
      </c>
      <c r="G32" s="435">
        <f>VLOOKUP(B32,'[5]测算分配表'!$B:$H,7,0)</f>
        <v>371.07216263998203</v>
      </c>
      <c r="H32" s="435">
        <f>VLOOKUP(B32,'[5]测算分配表'!$B:$J,9,0)</f>
        <v>0</v>
      </c>
      <c r="I32" s="435">
        <f>VLOOKUP(B32,'[5]测算分配表'!$B:$K,10,0)</f>
        <v>0</v>
      </c>
      <c r="J32" s="436">
        <f>VLOOKUP(B32,'[5]测算分配表'!$B:$L,11,0)</f>
        <v>0</v>
      </c>
      <c r="K32" s="453">
        <f>VLOOKUP(B32,'[5]测算分配表'!$B:$N,13,0)</f>
        <v>137.12030491366801</v>
      </c>
      <c r="L32" s="436"/>
      <c r="M32" s="436"/>
      <c r="N32" s="436"/>
      <c r="O32" s="436"/>
      <c r="P32" s="436"/>
      <c r="Q32" s="436"/>
      <c r="R32" s="436"/>
      <c r="S32" s="436"/>
      <c r="T32" s="455"/>
      <c r="U32" s="5" t="str">
        <f>VLOOKUP(B:B,'[4]合计'!$B:$C,2,0)</f>
        <v>贫困</v>
      </c>
      <c r="V32" s="5" t="str">
        <f>VLOOKUP(B:B,'[4]合计'!$B:$L,11,FALSE)</f>
        <v>省级</v>
      </c>
    </row>
    <row r="33" ht="18" customHeight="1">
      <c r="A33" s="85">
        <v>22</v>
      </c>
      <c r="B33" s="86" t="s">
        <v>96</v>
      </c>
      <c r="C33" s="436">
        <f t="shared" si="2853"/>
        <v>1293</v>
      </c>
      <c r="D33" s="436">
        <f t="shared" si="2854"/>
        <v>1293</v>
      </c>
      <c r="E33" s="436">
        <f t="shared" si="2855"/>
        <v>-144</v>
      </c>
      <c r="F33" s="436">
        <f>VLOOKUP(B33,'[5]测算分配表'!$B:$P,15,0)</f>
        <v>1437</v>
      </c>
      <c r="G33" s="435">
        <f>VLOOKUP(B33,'[5]测算分配表'!$B:$H,7,0)</f>
        <v>1237.2294405176999</v>
      </c>
      <c r="H33" s="435">
        <f>VLOOKUP(B33,'[5]测算分配表'!$B:$J,9,0)</f>
        <v>200</v>
      </c>
      <c r="I33" s="435">
        <f>VLOOKUP(B33,'[5]测算分配表'!$B:$K,10,0)</f>
        <v>0</v>
      </c>
      <c r="J33" s="436">
        <f>VLOOKUP(B33,'[5]测算分配表'!$B:$L,11,0)</f>
        <v>0</v>
      </c>
      <c r="K33" s="453">
        <f>VLOOKUP(B33,'[5]测算分配表'!$B:$N,13,0)</f>
        <v>0</v>
      </c>
      <c r="L33" s="436"/>
      <c r="M33" s="436"/>
      <c r="N33" s="436"/>
      <c r="O33" s="436"/>
      <c r="P33" s="436"/>
      <c r="Q33" s="436"/>
      <c r="R33" s="436"/>
      <c r="S33" s="436"/>
      <c r="T33" s="455"/>
      <c r="U33" s="5" t="str">
        <f>VLOOKUP(B:B,'[4]合计'!$B:$C,2,0)</f>
        <v>深度贫困</v>
      </c>
      <c r="V33" s="5" t="str">
        <f>VLOOKUP(B:B,'[4]合计'!$B:$L,11,FALSE)</f>
        <v>国家级</v>
      </c>
    </row>
    <row r="34" ht="18" customHeight="1">
      <c r="A34" s="85">
        <v>23</v>
      </c>
      <c r="B34" s="86" t="s">
        <v>97</v>
      </c>
      <c r="C34" s="436">
        <f t="shared" si="2853"/>
        <v>387</v>
      </c>
      <c r="D34" s="436">
        <f t="shared" si="2854"/>
        <v>387</v>
      </c>
      <c r="E34" s="436">
        <f t="shared" si="2855"/>
        <v>-43</v>
      </c>
      <c r="F34" s="436">
        <f>VLOOKUP(B34,'[5]测算分配表'!$B:$P,15,0)</f>
        <v>430</v>
      </c>
      <c r="G34" s="435">
        <f>VLOOKUP(B34,'[5]测算分配表'!$B:$H,7,0)</f>
        <v>380.14116430313499</v>
      </c>
      <c r="H34" s="435">
        <f>VLOOKUP(B34,'[5]测算分配表'!$B:$J,9,0)</f>
        <v>200</v>
      </c>
      <c r="I34" s="435">
        <f>VLOOKUP(B34,'[5]测算分配表'!$B:$K,10,0)</f>
        <v>0</v>
      </c>
      <c r="J34" s="436">
        <f>VLOOKUP(B34,'[5]测算分配表'!$B:$L,11,0)</f>
        <v>-150</v>
      </c>
      <c r="K34" s="453">
        <f>VLOOKUP(B34,'[5]测算分配表'!$B:$N,13,0)</f>
        <v>0</v>
      </c>
      <c r="L34" s="436"/>
      <c r="M34" s="436"/>
      <c r="N34" s="436"/>
      <c r="O34" s="436"/>
      <c r="P34" s="436"/>
      <c r="Q34" s="436"/>
      <c r="R34" s="436"/>
      <c r="S34" s="436"/>
      <c r="T34" s="455"/>
      <c r="U34" s="5" t="str">
        <f>VLOOKUP(B:B,'[4]合计'!$B:$C,2,0)</f>
        <v>贫困</v>
      </c>
      <c r="V34" s="5" t="str">
        <f>VLOOKUP(B:B,'[4]合计'!$B:$L,11,FALSE)</f>
        <v>省级</v>
      </c>
    </row>
    <row r="35" ht="18" customHeight="1">
      <c r="A35" s="85">
        <v>24</v>
      </c>
      <c r="B35" s="86" t="s">
        <v>98</v>
      </c>
      <c r="C35" s="436">
        <f t="shared" si="2853"/>
        <v>117</v>
      </c>
      <c r="D35" s="436">
        <f t="shared" si="2854"/>
        <v>117</v>
      </c>
      <c r="E35" s="436">
        <f t="shared" si="2855"/>
        <v>-13</v>
      </c>
      <c r="F35" s="436">
        <f>VLOOKUP(B35,'[5]测算分配表'!$B:$P,15,0)</f>
        <v>130</v>
      </c>
      <c r="G35" s="435">
        <f>VLOOKUP(B35,'[5]测算分配表'!$B:$H,7,0)</f>
        <v>180.374471430055</v>
      </c>
      <c r="H35" s="435">
        <f>VLOOKUP(B35,'[5]测算分配表'!$B:$J,9,0)</f>
        <v>0</v>
      </c>
      <c r="I35" s="435">
        <f>VLOOKUP(B35,'[5]测算分配表'!$B:$K,10,0)</f>
        <v>0</v>
      </c>
      <c r="J35" s="436">
        <f>VLOOKUP(B35,'[5]测算分配表'!$B:$L,11,0)</f>
        <v>-50</v>
      </c>
      <c r="K35" s="453">
        <f>VLOOKUP(B35,'[5]测算分配表'!$B:$N,13,0)</f>
        <v>0</v>
      </c>
      <c r="L35" s="436"/>
      <c r="M35" s="436"/>
      <c r="N35" s="436"/>
      <c r="O35" s="436"/>
      <c r="P35" s="436"/>
      <c r="Q35" s="436"/>
      <c r="R35" s="436"/>
      <c r="S35" s="436"/>
      <c r="T35" s="455"/>
      <c r="U35" s="5" t="str">
        <f>VLOOKUP(B:B,'[4]合计'!$B:$C,2,0)</f>
        <v>非贫困县</v>
      </c>
      <c r="V35" s="5">
        <f>VLOOKUP(B:B,'[4]合计'!$B:$L,11,FALSE)</f>
        <v>0</v>
      </c>
    </row>
    <row r="36" s="5" customFormat="1" ht="18" customHeight="1">
      <c r="A36" s="85">
        <v>222</v>
      </c>
      <c r="B36" s="456" t="s">
        <v>95</v>
      </c>
      <c r="C36" s="432">
        <f t="shared" si="2853"/>
        <v>3226</v>
      </c>
      <c r="D36" s="432">
        <f t="shared" si="2854"/>
        <v>3226</v>
      </c>
      <c r="E36" s="432"/>
      <c r="F36" s="436">
        <f>VLOOKUP(B36,'[5]测算分配表'!$B:$P,15,0)</f>
        <v>3226</v>
      </c>
      <c r="G36" s="435">
        <f>VLOOKUP(B36,'[5]测算分配表'!$B:$H,7,0)</f>
        <v>2304.2797207588801</v>
      </c>
      <c r="H36" s="435">
        <f>VLOOKUP(B36,'[5]测算分配表'!$B:$J,9,0)</f>
        <v>200</v>
      </c>
      <c r="I36" s="435">
        <f>VLOOKUP(B36,'[5]测算分配表'!$B:$K,10,0)</f>
        <v>0</v>
      </c>
      <c r="J36" s="436">
        <f>VLOOKUP(B36,'[5]测算分配表'!$B:$L,11,0)</f>
        <v>0</v>
      </c>
      <c r="K36" s="453">
        <f>VLOOKUP(B36,'[5]测算分配表'!$B:$N,13,0)</f>
        <v>722.13873528843897</v>
      </c>
      <c r="L36" s="432"/>
      <c r="M36" s="432"/>
      <c r="N36" s="432"/>
      <c r="O36" s="432"/>
      <c r="P36" s="432"/>
      <c r="Q36" s="432"/>
      <c r="R36" s="432"/>
      <c r="S36" s="432"/>
      <c r="T36" s="14"/>
      <c r="U36" s="5" t="str">
        <f>VLOOKUP(B:B,'[4]合计'!$B:$C,2,0)</f>
        <v>深度贫困</v>
      </c>
      <c r="V36" s="5" t="str">
        <f>VLOOKUP(B:B,'[4]合计'!$B:$L,11,FALSE)</f>
        <v>国家级</v>
      </c>
    </row>
    <row r="37" s="10" customFormat="1" ht="18" customHeight="1">
      <c r="A37" s="427"/>
      <c r="B37" s="431" t="s">
        <v>99</v>
      </c>
      <c r="C37" s="432">
        <f t="shared" ref="C37:I37" si="2856">SUM(C38:C46)</f>
        <v>3473</v>
      </c>
      <c r="D37" s="432">
        <f t="shared" si="2856"/>
        <v>3473</v>
      </c>
      <c r="E37" s="432">
        <f t="shared" si="2856"/>
        <v>0</v>
      </c>
      <c r="F37" s="432">
        <f t="shared" si="2856"/>
        <v>3473</v>
      </c>
      <c r="G37" s="433">
        <f t="shared" si="2856"/>
        <v>3387.4861595809498</v>
      </c>
      <c r="H37" s="433">
        <f t="shared" si="2856"/>
        <v>200</v>
      </c>
      <c r="I37" s="433">
        <f t="shared" si="2856"/>
        <v>0</v>
      </c>
      <c r="J37" s="432">
        <f t="shared" ref="J37:S37" si="2857">SUM(J38:J46)</f>
        <v>-600</v>
      </c>
      <c r="K37" s="450">
        <f t="shared" si="2857"/>
        <v>485.77146154241899</v>
      </c>
      <c r="L37" s="432">
        <f t="shared" si="2857"/>
        <v>0</v>
      </c>
      <c r="M37" s="432">
        <f t="shared" si="2857"/>
        <v>0</v>
      </c>
      <c r="N37" s="432">
        <f t="shared" si="2857"/>
        <v>0</v>
      </c>
      <c r="O37" s="432">
        <f t="shared" si="2857"/>
        <v>0</v>
      </c>
      <c r="P37" s="432">
        <f t="shared" si="2857"/>
        <v>0</v>
      </c>
      <c r="Q37" s="432">
        <f t="shared" si="2857"/>
        <v>0</v>
      </c>
      <c r="R37" s="432">
        <f t="shared" si="2857"/>
        <v>0</v>
      </c>
      <c r="S37" s="432">
        <f t="shared" si="2857"/>
        <v>0</v>
      </c>
      <c r="T37" s="14"/>
      <c r="U37" s="5">
        <f>VLOOKUP(B:B,'[4]合计'!$B:$C,2,0)</f>
        <v>0</v>
      </c>
      <c r="V37" s="5">
        <f>VLOOKUP(B:B,'[4]合计'!$B:$L,11,FALSE)</f>
        <v>0</v>
      </c>
    </row>
    <row r="38" s="10" customFormat="1" ht="18" customHeight="1">
      <c r="A38" s="434">
        <v>1111</v>
      </c>
      <c r="B38" s="452" t="s">
        <v>100</v>
      </c>
      <c r="C38" s="436">
        <f t="shared" ref="C38:C47" si="2858">D38+M38+S38</f>
        <v>0</v>
      </c>
      <c r="D38" s="436">
        <f t="shared" ref="D38:D47" si="2859">E38+F38</f>
        <v>0</v>
      </c>
      <c r="E38" s="436"/>
      <c r="F38" s="436">
        <f>VLOOKUP(B38,[5]测算分配表!$B:$P,15,0)</f>
        <v>0</v>
      </c>
      <c r="G38" s="435">
        <f>VLOOKUP(B38,[5]测算分配表!$B:$H,7,0)</f>
        <v>0</v>
      </c>
      <c r="H38" s="435">
        <f>VLOOKUP(B38,[5]测算分配表!$B:$J,9,0)</f>
        <v>0</v>
      </c>
      <c r="I38" s="435">
        <f>VLOOKUP(B38,[5]测算分配表!$B:$K,10,0)</f>
        <v>0</v>
      </c>
      <c r="J38" s="436">
        <f>VLOOKUP(B38,[5]测算分配表!$B:$L,11,0)</f>
        <v>0</v>
      </c>
      <c r="K38" s="453">
        <f>VLOOKUP(B38,[5]测算分配表!$B:$N,13,0)</f>
        <v>0</v>
      </c>
      <c r="L38" s="436"/>
      <c r="M38" s="436"/>
      <c r="N38" s="436"/>
      <c r="O38" s="436"/>
      <c r="P38" s="436"/>
      <c r="Q38" s="436"/>
      <c r="R38" s="436"/>
      <c r="S38" s="436"/>
      <c r="T38" s="14"/>
      <c r="U38" s="5">
        <f>VLOOKUP(B:B,'[4]合计'!$B:$C,2,0)</f>
        <v>0</v>
      </c>
      <c r="V38" s="5">
        <f>VLOOKUP(B:B,'[4]合计'!$B:$L,11,FALSE)</f>
        <v>0</v>
      </c>
    </row>
    <row r="39" ht="18" customHeight="1">
      <c r="A39" s="85">
        <v>25</v>
      </c>
      <c r="B39" s="86" t="s">
        <v>101</v>
      </c>
      <c r="C39" s="436">
        <f t="shared" si="2858"/>
        <v>221</v>
      </c>
      <c r="D39" s="436">
        <f t="shared" si="2859"/>
        <v>221</v>
      </c>
      <c r="E39" s="436"/>
      <c r="F39" s="436">
        <f>VLOOKUP(B39,'[5]测算分配表'!$B:$P,15,0)</f>
        <v>221</v>
      </c>
      <c r="G39" s="435">
        <f>VLOOKUP(B39,'[5]测算分配表'!$B:$H,7,0)</f>
        <v>121.405853280984</v>
      </c>
      <c r="H39" s="435">
        <f>VLOOKUP(B39,'[5]测算分配表'!$B:$J,9,0)</f>
        <v>100</v>
      </c>
      <c r="I39" s="435">
        <f>VLOOKUP(B39,'[5]测算分配表'!$B:$K,10,0)</f>
        <v>0</v>
      </c>
      <c r="J39" s="436">
        <f>VLOOKUP(B39,'[5]测算分配表'!$B:$L,11,0)</f>
        <v>0</v>
      </c>
      <c r="K39" s="453">
        <f>VLOOKUP(B39,'[5]测算分配表'!$B:$N,13,0)</f>
        <v>0</v>
      </c>
      <c r="L39" s="436"/>
      <c r="M39" s="436"/>
      <c r="N39" s="436"/>
      <c r="O39" s="436"/>
      <c r="P39" s="436"/>
      <c r="Q39" s="436"/>
      <c r="R39" s="436"/>
      <c r="S39" s="436"/>
      <c r="T39" s="455"/>
      <c r="U39" s="5" t="str">
        <f>VLOOKUP(B:B,'[4]合计'!$B:$C,2,0)</f>
        <v>非贫困县</v>
      </c>
      <c r="V39" s="5">
        <f>VLOOKUP(B:B,'[4]合计'!$B:$L,11,FALSE)</f>
        <v>0</v>
      </c>
    </row>
    <row r="40" ht="18" customHeight="1">
      <c r="A40" s="85">
        <v>26</v>
      </c>
      <c r="B40" s="86" t="s">
        <v>108</v>
      </c>
      <c r="C40" s="436">
        <f t="shared" si="2858"/>
        <v>9</v>
      </c>
      <c r="D40" s="436">
        <f t="shared" si="2859"/>
        <v>9</v>
      </c>
      <c r="E40" s="436"/>
      <c r="F40" s="436">
        <f>VLOOKUP(B40,'[5]测算分配表'!$B:$P,15,0)</f>
        <v>9</v>
      </c>
      <c r="G40" s="435">
        <f>VLOOKUP(B40,'[5]测算分配表'!$B:$H,7,0)</f>
        <v>159.09907138855399</v>
      </c>
      <c r="H40" s="435">
        <f>VLOOKUP(B40,'[5]测算分配表'!$B:$J,9,0)</f>
        <v>0</v>
      </c>
      <c r="I40" s="435">
        <f>VLOOKUP(B40,'[5]测算分配表'!$B:$K,10,0)</f>
        <v>0</v>
      </c>
      <c r="J40" s="436">
        <f>VLOOKUP(B40,'[5]测算分配表'!$B:$L,11,0)</f>
        <v>-150</v>
      </c>
      <c r="K40" s="453">
        <f>VLOOKUP(B40,'[5]测算分配表'!$B:$N,13,0)</f>
        <v>0</v>
      </c>
      <c r="L40" s="436"/>
      <c r="M40" s="436"/>
      <c r="N40" s="436"/>
      <c r="O40" s="436"/>
      <c r="P40" s="436"/>
      <c r="Q40" s="436"/>
      <c r="R40" s="436"/>
      <c r="S40" s="436"/>
      <c r="T40" s="455"/>
      <c r="U40" s="5" t="str">
        <f>VLOOKUP(B:B,'[4]合计'!$B:$C,2,0)</f>
        <v>非贫困县</v>
      </c>
      <c r="V40" s="5">
        <f>VLOOKUP(B:B,'[4]合计'!$B:$L,11,FALSE)</f>
        <v>0</v>
      </c>
    </row>
    <row r="41" ht="18" customHeight="1">
      <c r="A41" s="85">
        <v>27</v>
      </c>
      <c r="B41" s="86" t="s">
        <v>102</v>
      </c>
      <c r="C41" s="436">
        <f t="shared" si="2858"/>
        <v>214</v>
      </c>
      <c r="D41" s="436">
        <f t="shared" si="2859"/>
        <v>214</v>
      </c>
      <c r="E41" s="436"/>
      <c r="F41" s="436">
        <f>VLOOKUP(B41,'[5]测算分配表'!$B:$P,15,0)</f>
        <v>214</v>
      </c>
      <c r="G41" s="435">
        <f>VLOOKUP(B41,'[5]测算分配表'!$B:$H,7,0)</f>
        <v>152.31241962361599</v>
      </c>
      <c r="H41" s="435">
        <f>VLOOKUP(B41,'[5]测算分配表'!$B:$J,9,0)</f>
        <v>0</v>
      </c>
      <c r="I41" s="435">
        <f>VLOOKUP(B41,'[5]测算分配表'!$B:$K,10,0)</f>
        <v>0</v>
      </c>
      <c r="J41" s="436">
        <f>VLOOKUP(B41,'[5]测算分配表'!$B:$L,11,0)</f>
        <v>-50</v>
      </c>
      <c r="K41" s="453">
        <f>VLOOKUP(B41,'[5]测算分配表'!$B:$N,13,0)</f>
        <v>111.65603637546501</v>
      </c>
      <c r="L41" s="436"/>
      <c r="M41" s="436"/>
      <c r="N41" s="436"/>
      <c r="O41" s="436"/>
      <c r="P41" s="436"/>
      <c r="Q41" s="436"/>
      <c r="R41" s="436"/>
      <c r="S41" s="436"/>
      <c r="T41" s="455"/>
      <c r="U41" s="5" t="str">
        <f>VLOOKUP(B:B,'[4]合计'!$B:$C,2,0)</f>
        <v>非贫困县</v>
      </c>
      <c r="V41" s="5">
        <f>VLOOKUP(B:B,'[4]合计'!$B:$L,11,FALSE)</f>
        <v>0</v>
      </c>
    </row>
    <row r="42" ht="18" customHeight="1">
      <c r="A42" s="85">
        <v>28</v>
      </c>
      <c r="B42" s="86" t="s">
        <v>106</v>
      </c>
      <c r="C42" s="436">
        <f t="shared" si="2858"/>
        <v>306</v>
      </c>
      <c r="D42" s="436">
        <f t="shared" si="2859"/>
        <v>306</v>
      </c>
      <c r="E42" s="436"/>
      <c r="F42" s="436">
        <f>VLOOKUP(B42,'[5]测算分配表'!$B:$P,15,0)</f>
        <v>306</v>
      </c>
      <c r="G42" s="435">
        <f>VLOOKUP(B42,'[5]测算分配表'!$B:$H,7,0)</f>
        <v>406.43196839659601</v>
      </c>
      <c r="H42" s="435">
        <f>VLOOKUP(B42,'[5]测算分配表'!$B:$J,9,0)</f>
        <v>0</v>
      </c>
      <c r="I42" s="435">
        <f>VLOOKUP(B42,'[5]测算分配表'!$B:$K,10,0)</f>
        <v>0</v>
      </c>
      <c r="J42" s="436">
        <f>VLOOKUP(B42,'[5]测算分配表'!$B:$L,11,0)</f>
        <v>-100</v>
      </c>
      <c r="K42" s="453">
        <f>VLOOKUP(B42,'[5]测算分配表'!$B:$N,13,0)</f>
        <v>0</v>
      </c>
      <c r="L42" s="436"/>
      <c r="M42" s="436"/>
      <c r="N42" s="436"/>
      <c r="O42" s="436"/>
      <c r="P42" s="436"/>
      <c r="Q42" s="436"/>
      <c r="R42" s="436"/>
      <c r="S42" s="436"/>
      <c r="T42" s="455"/>
      <c r="U42" s="5" t="str">
        <f>VLOOKUP(B:B,'[4]合计'!$B:$C,2,0)</f>
        <v>贫困</v>
      </c>
      <c r="V42" s="5" t="str">
        <f>VLOOKUP(B:B,'[4]合计'!$B:$L,11,FALSE)</f>
        <v>省级</v>
      </c>
    </row>
    <row r="43" ht="18" customHeight="1">
      <c r="A43" s="85">
        <v>29</v>
      </c>
      <c r="B43" s="86" t="s">
        <v>105</v>
      </c>
      <c r="C43" s="436">
        <f t="shared" si="2858"/>
        <v>119</v>
      </c>
      <c r="D43" s="436">
        <f t="shared" si="2859"/>
        <v>119</v>
      </c>
      <c r="E43" s="436"/>
      <c r="F43" s="436">
        <f>VLOOKUP(B43,'[5]测算分配表'!$B:$P,15,0)</f>
        <v>119</v>
      </c>
      <c r="G43" s="435">
        <f>VLOOKUP(B43,'[5]测算分配表'!$B:$H,7,0)</f>
        <v>218.81846551512399</v>
      </c>
      <c r="H43" s="435">
        <f>VLOOKUP(B43,'[5]测算分配表'!$B:$J,9,0)</f>
        <v>0</v>
      </c>
      <c r="I43" s="435">
        <f>VLOOKUP(B43,'[5]测算分配表'!$B:$K,10,0)</f>
        <v>0</v>
      </c>
      <c r="J43" s="436">
        <f>VLOOKUP(B43,'[5]测算分配表'!$B:$L,11,0)</f>
        <v>-100</v>
      </c>
      <c r="K43" s="453">
        <f>VLOOKUP(B43,'[5]测算分配表'!$B:$N,13,0)</f>
        <v>0</v>
      </c>
      <c r="L43" s="436"/>
      <c r="M43" s="436"/>
      <c r="N43" s="436"/>
      <c r="O43" s="436"/>
      <c r="P43" s="436"/>
      <c r="Q43" s="436"/>
      <c r="R43" s="436"/>
      <c r="S43" s="436"/>
      <c r="T43" s="455"/>
      <c r="U43" s="5" t="str">
        <f>VLOOKUP(B:B,'[4]合计'!$B:$C,2,0)</f>
        <v>贫困</v>
      </c>
      <c r="V43" s="5">
        <f>VLOOKUP(B:B,'[4]合计'!$B:$L,11,FALSE)</f>
        <v>0</v>
      </c>
    </row>
    <row r="44" ht="18" customHeight="1">
      <c r="A44" s="85">
        <v>30</v>
      </c>
      <c r="B44" s="86" t="s">
        <v>104</v>
      </c>
      <c r="C44" s="436">
        <f t="shared" si="2858"/>
        <v>292</v>
      </c>
      <c r="D44" s="436">
        <f t="shared" si="2859"/>
        <v>292</v>
      </c>
      <c r="E44" s="436"/>
      <c r="F44" s="436">
        <f>VLOOKUP(B44,'[5]测算分配表'!$B:$P,15,0)</f>
        <v>292</v>
      </c>
      <c r="G44" s="435">
        <f>VLOOKUP(B44,'[5]测算分配表'!$B:$H,7,0)</f>
        <v>292.064554198856</v>
      </c>
      <c r="H44" s="435">
        <f>VLOOKUP(B44,'[5]测算分配表'!$B:$J,9,0)</f>
        <v>0</v>
      </c>
      <c r="I44" s="435">
        <f>VLOOKUP(B44,'[5]测算分配表'!$B:$K,10,0)</f>
        <v>0</v>
      </c>
      <c r="J44" s="436">
        <f>VLOOKUP(B44,'[5]测算分配表'!$B:$L,11,0)</f>
        <v>0</v>
      </c>
      <c r="K44" s="453">
        <f>VLOOKUP(B44,'[5]测算分配表'!$B:$N,13,0)</f>
        <v>0</v>
      </c>
      <c r="L44" s="436"/>
      <c r="M44" s="436"/>
      <c r="N44" s="436"/>
      <c r="O44" s="436"/>
      <c r="P44" s="436"/>
      <c r="Q44" s="436"/>
      <c r="R44" s="436"/>
      <c r="S44" s="436"/>
      <c r="T44" s="455"/>
      <c r="U44" s="5" t="str">
        <f>VLOOKUP(B:B,'[4]合计'!$B:$C,2,0)</f>
        <v>贫困</v>
      </c>
      <c r="V44" s="5">
        <f>VLOOKUP(B:B,'[4]合计'!$B:$L,11,FALSE)</f>
        <v>0</v>
      </c>
    </row>
    <row r="45" ht="18" customHeight="1">
      <c r="A45" s="85">
        <v>31</v>
      </c>
      <c r="B45" s="86" t="s">
        <v>103</v>
      </c>
      <c r="C45" s="436">
        <f t="shared" si="2858"/>
        <v>337</v>
      </c>
      <c r="D45" s="436">
        <f t="shared" si="2859"/>
        <v>337</v>
      </c>
      <c r="E45" s="436"/>
      <c r="F45" s="436">
        <f>VLOOKUP(B45,'[5]测算分配表'!$B:$P,15,0)</f>
        <v>337</v>
      </c>
      <c r="G45" s="435">
        <f>VLOOKUP(B45,'[5]测算分配表'!$B:$H,7,0)</f>
        <v>203.99872405332999</v>
      </c>
      <c r="H45" s="435">
        <f>VLOOKUP(B45,'[5]测算分配表'!$B:$J,9,0)</f>
        <v>100</v>
      </c>
      <c r="I45" s="435">
        <f>VLOOKUP(B45,'[5]测算分配表'!$B:$K,10,0)</f>
        <v>0</v>
      </c>
      <c r="J45" s="436">
        <f>VLOOKUP(B45,'[5]测算分配表'!$B:$L,11,0)</f>
        <v>-200</v>
      </c>
      <c r="K45" s="453">
        <f>VLOOKUP(B45,'[5]测算分配表'!$B:$N,13,0)</f>
        <v>232.82092088388401</v>
      </c>
      <c r="L45" s="436"/>
      <c r="M45" s="436"/>
      <c r="N45" s="436"/>
      <c r="O45" s="436"/>
      <c r="P45" s="436"/>
      <c r="Q45" s="436"/>
      <c r="R45" s="436"/>
      <c r="S45" s="436"/>
      <c r="T45" s="455"/>
      <c r="U45" s="5" t="str">
        <f>VLOOKUP(B:B,'[4]合计'!$B:$C,2,0)</f>
        <v>非贫困县</v>
      </c>
      <c r="V45" s="5">
        <f>VLOOKUP(B:B,'[4]合计'!$B:$L,11,FALSE)</f>
        <v>0</v>
      </c>
    </row>
    <row r="46" s="5" customFormat="1" ht="18" customHeight="1">
      <c r="A46" s="85">
        <v>32</v>
      </c>
      <c r="B46" s="86" t="s">
        <v>107</v>
      </c>
      <c r="C46" s="436">
        <f t="shared" si="2858"/>
        <v>1975</v>
      </c>
      <c r="D46" s="436">
        <f t="shared" si="2859"/>
        <v>1975</v>
      </c>
      <c r="E46" s="436"/>
      <c r="F46" s="436">
        <f>VLOOKUP(B46,'[5]测算分配表'!$B:$P,15,0)</f>
        <v>1975</v>
      </c>
      <c r="G46" s="435">
        <f>VLOOKUP(B46,'[5]测算分配表'!$B:$H,7,0)</f>
        <v>1833.3551031238901</v>
      </c>
      <c r="H46" s="435">
        <f>VLOOKUP(B46,'[5]测算分配表'!$B:$J,9,0)</f>
        <v>0</v>
      </c>
      <c r="I46" s="435">
        <f>VLOOKUP(B46,'[5]测算分配表'!$B:$K,10,0)</f>
        <v>0</v>
      </c>
      <c r="J46" s="436">
        <f>VLOOKUP(B46,'[5]测算分配表'!$B:$L,11,0)</f>
        <v>0</v>
      </c>
      <c r="K46" s="453">
        <f>VLOOKUP(B46,'[5]测算分配表'!$B:$N,13,0)</f>
        <v>141.29450428307001</v>
      </c>
      <c r="L46" s="436"/>
      <c r="M46" s="436"/>
      <c r="N46" s="436"/>
      <c r="O46" s="436"/>
      <c r="P46" s="436"/>
      <c r="Q46" s="436"/>
      <c r="R46" s="436"/>
      <c r="S46" s="436"/>
      <c r="T46" s="455"/>
      <c r="U46" s="5" t="str">
        <f>VLOOKUP(B:B,'[4]合计'!$B:$C,2,0)</f>
        <v>深度贫困</v>
      </c>
      <c r="V46" s="5" t="str">
        <f>VLOOKUP(B:B,'[4]合计'!$B:$L,11,FALSE)</f>
        <v>国家级</v>
      </c>
    </row>
    <row r="47" ht="18" customHeight="1">
      <c r="A47" s="85">
        <v>222</v>
      </c>
      <c r="B47" s="456" t="s">
        <v>109</v>
      </c>
      <c r="C47" s="432">
        <f t="shared" si="2858"/>
        <v>1553</v>
      </c>
      <c r="D47" s="432">
        <f t="shared" si="2859"/>
        <v>1553</v>
      </c>
      <c r="E47" s="432"/>
      <c r="F47" s="436">
        <f>VLOOKUP(B47,'[5]测算分配表'!$B:$P,15,0)</f>
        <v>1553</v>
      </c>
      <c r="G47" s="435">
        <f>VLOOKUP(B47,'[5]测算分配表'!$B:$H,7,0)</f>
        <v>915.06266967428803</v>
      </c>
      <c r="H47" s="435">
        <f>VLOOKUP(B47,'[5]测算分配表'!$B:$J,9,0)</f>
        <v>200</v>
      </c>
      <c r="I47" s="435">
        <f>VLOOKUP(B47,'[5]测算分配表'!$B:$K,10,0)</f>
        <v>0</v>
      </c>
      <c r="J47" s="436">
        <f>VLOOKUP(B47,'[5]测算分配表'!$B:$L,11,0)</f>
        <v>0</v>
      </c>
      <c r="K47" s="453">
        <f>VLOOKUP(B47,'[5]测算分配表'!$B:$N,13,0)</f>
        <v>437.52924079555999</v>
      </c>
      <c r="L47" s="432"/>
      <c r="M47" s="432"/>
      <c r="N47" s="432"/>
      <c r="O47" s="432"/>
      <c r="P47" s="432"/>
      <c r="Q47" s="432"/>
      <c r="R47" s="432"/>
      <c r="S47" s="432"/>
      <c r="T47" s="14"/>
      <c r="U47" s="5" t="str">
        <f>VLOOKUP(B:B,'[4]合计'!$B:$C,2,0)</f>
        <v>深度贫困</v>
      </c>
      <c r="V47" s="5" t="str">
        <f>VLOOKUP(B:B,'[4]合计'!$B:$L,11,FALSE)</f>
        <v>国家级</v>
      </c>
    </row>
    <row r="48" s="10" customFormat="1" ht="18" customHeight="1">
      <c r="A48" s="427"/>
      <c r="B48" s="431" t="s">
        <v>110</v>
      </c>
      <c r="C48" s="432">
        <f t="shared" ref="C48:I48" si="2860">SUM(C49:C58)</f>
        <v>1481</v>
      </c>
      <c r="D48" s="432">
        <f t="shared" si="2860"/>
        <v>1481</v>
      </c>
      <c r="E48" s="432">
        <f t="shared" si="2860"/>
        <v>0</v>
      </c>
      <c r="F48" s="432">
        <f t="shared" si="2860"/>
        <v>1481</v>
      </c>
      <c r="G48" s="433">
        <f t="shared" si="2860"/>
        <v>1144.5788224681601</v>
      </c>
      <c r="H48" s="433">
        <f t="shared" si="2860"/>
        <v>0</v>
      </c>
      <c r="I48" s="433">
        <f t="shared" si="2860"/>
        <v>100</v>
      </c>
      <c r="J48" s="432">
        <f t="shared" ref="J48:S48" si="2861">SUM(J49:J58)</f>
        <v>-200</v>
      </c>
      <c r="K48" s="450">
        <f t="shared" si="2861"/>
        <v>436.18887276169198</v>
      </c>
      <c r="L48" s="432">
        <f t="shared" si="2861"/>
        <v>0</v>
      </c>
      <c r="M48" s="432">
        <f t="shared" si="2861"/>
        <v>0</v>
      </c>
      <c r="N48" s="432">
        <f t="shared" si="2861"/>
        <v>0</v>
      </c>
      <c r="O48" s="432">
        <f t="shared" si="2861"/>
        <v>0</v>
      </c>
      <c r="P48" s="432">
        <f t="shared" si="2861"/>
        <v>0</v>
      </c>
      <c r="Q48" s="432">
        <f t="shared" si="2861"/>
        <v>0</v>
      </c>
      <c r="R48" s="432">
        <f t="shared" si="2861"/>
        <v>0</v>
      </c>
      <c r="S48" s="432">
        <f t="shared" si="2861"/>
        <v>0</v>
      </c>
      <c r="T48" s="14"/>
      <c r="U48" s="5">
        <f>VLOOKUP(B:B,'[4]合计'!$B:$C,2,0)</f>
        <v>0</v>
      </c>
      <c r="V48" s="5">
        <f>VLOOKUP(B:B,'[4]合计'!$B:$L,11,FALSE)</f>
        <v>0</v>
      </c>
    </row>
    <row r="49" s="10" customFormat="1" ht="18" customHeight="1">
      <c r="A49" s="434">
        <v>1111</v>
      </c>
      <c r="B49" s="452" t="s">
        <v>111</v>
      </c>
      <c r="C49" s="436">
        <f t="shared" ref="C49:C58" si="2862">D49+M49+S49</f>
        <v>0</v>
      </c>
      <c r="D49" s="436">
        <f t="shared" ref="D49:D58" si="2863">E49+F49</f>
        <v>0</v>
      </c>
      <c r="E49" s="436"/>
      <c r="F49" s="436">
        <f>VLOOKUP(B49,[5]测算分配表!$B:$P,15,0)</f>
        <v>0</v>
      </c>
      <c r="G49" s="435">
        <f>VLOOKUP(B49,[5]测算分配表!$B:$H,7,0)</f>
        <v>0</v>
      </c>
      <c r="H49" s="435">
        <f>VLOOKUP(B49,[5]测算分配表!$B:$J,9,0)</f>
        <v>0</v>
      </c>
      <c r="I49" s="435">
        <f>VLOOKUP(B49,[5]测算分配表!$B:$K,10,0)</f>
        <v>0</v>
      </c>
      <c r="J49" s="436">
        <f>VLOOKUP(B49,[5]测算分配表!$B:$L,11,0)</f>
        <v>0</v>
      </c>
      <c r="K49" s="453">
        <f>VLOOKUP(B49,[5]测算分配表!$B:$N,13,0)</f>
        <v>0</v>
      </c>
      <c r="L49" s="436"/>
      <c r="M49" s="436"/>
      <c r="N49" s="436"/>
      <c r="O49" s="436"/>
      <c r="P49" s="436"/>
      <c r="Q49" s="436"/>
      <c r="R49" s="436"/>
      <c r="S49" s="436"/>
      <c r="T49" s="14"/>
      <c r="U49" s="5">
        <f>VLOOKUP(B:B,'[4]合计'!$B:$C,2,0)</f>
        <v>0</v>
      </c>
      <c r="V49" s="5">
        <f>VLOOKUP(B:B,'[4]合计'!$B:$L,11,FALSE)</f>
        <v>0</v>
      </c>
    </row>
    <row r="50" ht="18" customHeight="1">
      <c r="A50" s="85">
        <v>33</v>
      </c>
      <c r="B50" s="86" t="s">
        <v>112</v>
      </c>
      <c r="C50" s="436">
        <f t="shared" si="2862"/>
        <v>104</v>
      </c>
      <c r="D50" s="436">
        <f t="shared" si="2863"/>
        <v>104</v>
      </c>
      <c r="E50" s="436"/>
      <c r="F50" s="436">
        <f>VLOOKUP(B50,'[5]测算分配表'!$B:$P,15,0)</f>
        <v>104</v>
      </c>
      <c r="G50" s="435">
        <f>VLOOKUP(B50,'[5]测算分配表'!$B:$H,7,0)</f>
        <v>103.67994612889601</v>
      </c>
      <c r="H50" s="435">
        <f>VLOOKUP(B50,'[5]测算分配表'!$B:$J,9,0)</f>
        <v>0</v>
      </c>
      <c r="I50" s="435">
        <f>VLOOKUP(B50,'[5]测算分配表'!$B:$K,10,0)</f>
        <v>0</v>
      </c>
      <c r="J50" s="436">
        <f>VLOOKUP(B50,'[5]测算分配表'!$B:$L,11,0)</f>
        <v>0</v>
      </c>
      <c r="K50" s="453">
        <f>VLOOKUP(B50,'[5]测算分配表'!$B:$N,13,0)</f>
        <v>0</v>
      </c>
      <c r="L50" s="436"/>
      <c r="M50" s="436"/>
      <c r="N50" s="436"/>
      <c r="O50" s="436"/>
      <c r="P50" s="436"/>
      <c r="Q50" s="436"/>
      <c r="R50" s="436"/>
      <c r="S50" s="436"/>
      <c r="T50" s="455"/>
      <c r="U50" s="5" t="str">
        <f>VLOOKUP(B:B,'[4]合计'!$B:$C,2,0)</f>
        <v>非贫困县</v>
      </c>
      <c r="V50" s="5">
        <f>VLOOKUP(B:B,'[4]合计'!$B:$L,11,FALSE)</f>
        <v>0</v>
      </c>
    </row>
    <row r="51" ht="18" customHeight="1">
      <c r="A51" s="85">
        <v>34</v>
      </c>
      <c r="B51" s="86" t="s">
        <v>115</v>
      </c>
      <c r="C51" s="436">
        <f t="shared" si="2862"/>
        <v>105</v>
      </c>
      <c r="D51" s="436">
        <f t="shared" si="2863"/>
        <v>105</v>
      </c>
      <c r="E51" s="436"/>
      <c r="F51" s="436">
        <f>VLOOKUP(B51,'[5]测算分配表'!$B:$P,15,0)</f>
        <v>105</v>
      </c>
      <c r="G51" s="435">
        <f>VLOOKUP(B51,'[5]测算分配表'!$B:$H,7,0)</f>
        <v>105.37313575958601</v>
      </c>
      <c r="H51" s="435">
        <f>VLOOKUP(B51,'[5]测算分配表'!$B:$J,9,0)</f>
        <v>0</v>
      </c>
      <c r="I51" s="435">
        <f>VLOOKUP(B51,'[5]测算分配表'!$B:$K,10,0)</f>
        <v>0</v>
      </c>
      <c r="J51" s="436">
        <f>VLOOKUP(B51,'[5]测算分配表'!$B:$L,11,0)</f>
        <v>0</v>
      </c>
      <c r="K51" s="453">
        <f>VLOOKUP(B51,'[5]测算分配表'!$B:$N,13,0)</f>
        <v>0</v>
      </c>
      <c r="L51" s="436"/>
      <c r="M51" s="436"/>
      <c r="N51" s="436"/>
      <c r="O51" s="436"/>
      <c r="P51" s="436"/>
      <c r="Q51" s="436"/>
      <c r="R51" s="436"/>
      <c r="S51" s="436"/>
      <c r="T51" s="455"/>
      <c r="U51" s="5" t="str">
        <f>VLOOKUP(B:B,'[4]合计'!$B:$C,2,0)</f>
        <v>非贫困县</v>
      </c>
      <c r="V51" s="5">
        <f>VLOOKUP(B:B,'[4]合计'!$B:$L,11,FALSE)</f>
        <v>0</v>
      </c>
    </row>
    <row r="52" ht="18" customHeight="1">
      <c r="A52" s="85">
        <v>35</v>
      </c>
      <c r="B52" s="86" t="s">
        <v>113</v>
      </c>
      <c r="C52" s="436">
        <f t="shared" si="2862"/>
        <v>295</v>
      </c>
      <c r="D52" s="436">
        <f t="shared" si="2863"/>
        <v>295</v>
      </c>
      <c r="E52" s="436"/>
      <c r="F52" s="436">
        <f>VLOOKUP(B52,'[5]测算分配表'!$B:$P,15,0)</f>
        <v>295</v>
      </c>
      <c r="G52" s="435">
        <f>VLOOKUP(B52,'[5]测算分配表'!$B:$H,7,0)</f>
        <v>116.91734080242701</v>
      </c>
      <c r="H52" s="435">
        <f>VLOOKUP(B52,'[5]测算分配表'!$B:$J,9,0)</f>
        <v>0</v>
      </c>
      <c r="I52" s="435">
        <f>VLOOKUP(B52,'[5]测算分配表'!$B:$K,10,0)</f>
        <v>0</v>
      </c>
      <c r="J52" s="436">
        <f>VLOOKUP(B52,'[5]测算分配表'!$B:$L,11,0)</f>
        <v>0</v>
      </c>
      <c r="K52" s="453">
        <f>VLOOKUP(B52,'[5]测算分配表'!$B:$N,13,0)</f>
        <v>178.45453578491501</v>
      </c>
      <c r="L52" s="436"/>
      <c r="M52" s="436"/>
      <c r="N52" s="436"/>
      <c r="O52" s="436"/>
      <c r="P52" s="436"/>
      <c r="Q52" s="436"/>
      <c r="R52" s="436"/>
      <c r="S52" s="436"/>
      <c r="T52" s="455"/>
      <c r="U52" s="5" t="str">
        <f>VLOOKUP(B:B,'[4]合计'!$B:$C,2,0)</f>
        <v>非贫困县</v>
      </c>
      <c r="V52" s="5">
        <f>VLOOKUP(B:B,'[4]合计'!$B:$L,11,FALSE)</f>
        <v>0</v>
      </c>
    </row>
    <row r="53" ht="18" customHeight="1">
      <c r="A53" s="85">
        <v>36</v>
      </c>
      <c r="B53" s="86" t="s">
        <v>114</v>
      </c>
      <c r="C53" s="436">
        <f t="shared" si="2862"/>
        <v>224</v>
      </c>
      <c r="D53" s="436">
        <f t="shared" si="2863"/>
        <v>224</v>
      </c>
      <c r="E53" s="436"/>
      <c r="F53" s="436">
        <f>VLOOKUP(B53,'[5]测算分配表'!$B:$P,15,0)</f>
        <v>224</v>
      </c>
      <c r="G53" s="435">
        <f>VLOOKUP(B53,'[5]测算分配表'!$B:$H,7,0)</f>
        <v>123.797035094252</v>
      </c>
      <c r="H53" s="435">
        <f>VLOOKUP(B53,'[5]测算分配表'!$B:$J,9,0)</f>
        <v>0</v>
      </c>
      <c r="I53" s="435">
        <f>VLOOKUP(B53,'[5]测算分配表'!$B:$K,10,0)</f>
        <v>100</v>
      </c>
      <c r="J53" s="436">
        <f>VLOOKUP(B53,'[5]测算分配表'!$B:$L,11,0)</f>
        <v>0</v>
      </c>
      <c r="K53" s="453">
        <f>VLOOKUP(B53,'[5]测算分配表'!$B:$N,13,0)</f>
        <v>0</v>
      </c>
      <c r="L53" s="436"/>
      <c r="M53" s="436"/>
      <c r="N53" s="436"/>
      <c r="O53" s="436"/>
      <c r="P53" s="436"/>
      <c r="Q53" s="436"/>
      <c r="R53" s="436"/>
      <c r="S53" s="436"/>
      <c r="T53" s="455"/>
      <c r="U53" s="5" t="str">
        <f>VLOOKUP(B:B,'[4]合计'!$B:$C,2,0)</f>
        <v>非贫困县</v>
      </c>
      <c r="V53" s="5">
        <f>VLOOKUP(B:B,'[4]合计'!$B:$L,11,FALSE)</f>
        <v>0</v>
      </c>
    </row>
    <row r="54" ht="18" customHeight="1">
      <c r="A54" s="85">
        <v>37</v>
      </c>
      <c r="B54" s="86" t="s">
        <v>116</v>
      </c>
      <c r="C54" s="436">
        <f t="shared" si="2862"/>
        <v>111</v>
      </c>
      <c r="D54" s="436">
        <f t="shared" si="2863"/>
        <v>111</v>
      </c>
      <c r="E54" s="436"/>
      <c r="F54" s="436">
        <f>VLOOKUP(B54,'[5]测算分配表'!$B:$P,15,0)</f>
        <v>111</v>
      </c>
      <c r="G54" s="435">
        <f>VLOOKUP(B54,'[5]测算分配表'!$B:$H,7,0)</f>
        <v>111.15689574572301</v>
      </c>
      <c r="H54" s="435">
        <f>VLOOKUP(B54,'[5]测算分配表'!$B:$J,9,0)</f>
        <v>0</v>
      </c>
      <c r="I54" s="435">
        <f>VLOOKUP(B54,'[5]测算分配表'!$B:$K,10,0)</f>
        <v>0</v>
      </c>
      <c r="J54" s="436">
        <f>VLOOKUP(B54,'[5]测算分配表'!$B:$L,11,0)</f>
        <v>0</v>
      </c>
      <c r="K54" s="453">
        <f>VLOOKUP(B54,'[5]测算分配表'!$B:$N,13,0)</f>
        <v>0</v>
      </c>
      <c r="L54" s="436"/>
      <c r="M54" s="436"/>
      <c r="N54" s="436"/>
      <c r="O54" s="436"/>
      <c r="P54" s="436"/>
      <c r="Q54" s="436"/>
      <c r="R54" s="436"/>
      <c r="S54" s="436"/>
      <c r="T54" s="455"/>
      <c r="U54" s="5" t="str">
        <f>VLOOKUP(B:B,'[4]合计'!$B:$C,2,0)</f>
        <v>非贫困县</v>
      </c>
      <c r="V54" s="5">
        <f>VLOOKUP(B:B,'[4]合计'!$B:$L,11,FALSE)</f>
        <v>0</v>
      </c>
    </row>
    <row r="55" ht="18" customHeight="1">
      <c r="A55" s="85">
        <v>38</v>
      </c>
      <c r="B55" s="86" t="s">
        <v>117</v>
      </c>
      <c r="C55" s="436">
        <f t="shared" si="2862"/>
        <v>100</v>
      </c>
      <c r="D55" s="436">
        <f t="shared" si="2863"/>
        <v>100</v>
      </c>
      <c r="E55" s="436"/>
      <c r="F55" s="436">
        <f>VLOOKUP(B55,'[5]测算分配表'!$B:$P,15,0)</f>
        <v>100</v>
      </c>
      <c r="G55" s="435">
        <f>VLOOKUP(B55,'[5]测算分配表'!$B:$H,7,0)</f>
        <v>121.31189843188299</v>
      </c>
      <c r="H55" s="435">
        <f>VLOOKUP(B55,'[5]测算分配表'!$B:$J,9,0)</f>
        <v>0</v>
      </c>
      <c r="I55" s="435">
        <f>VLOOKUP(B55,'[5]测算分配表'!$B:$K,10,0)</f>
        <v>0</v>
      </c>
      <c r="J55" s="436">
        <f>VLOOKUP(B55,'[5]测算分配表'!$B:$L,11,0)</f>
        <v>-150</v>
      </c>
      <c r="K55" s="453">
        <f>VLOOKUP(B55,'[5]测算分配表'!$B:$N,13,0)</f>
        <v>128.48027393915601</v>
      </c>
      <c r="L55" s="436"/>
      <c r="M55" s="436"/>
      <c r="N55" s="436"/>
      <c r="O55" s="436"/>
      <c r="P55" s="436"/>
      <c r="Q55" s="436"/>
      <c r="R55" s="436"/>
      <c r="S55" s="436"/>
      <c r="T55" s="455"/>
      <c r="U55" s="5" t="str">
        <f>VLOOKUP(B:B,'[4]合计'!$B:$C,2,0)</f>
        <v>非贫困县</v>
      </c>
      <c r="V55" s="5">
        <f>VLOOKUP(B:B,'[4]合计'!$B:$L,11,FALSE)</f>
        <v>0</v>
      </c>
    </row>
    <row r="56" ht="18" customHeight="1">
      <c r="A56" s="85">
        <v>39</v>
      </c>
      <c r="B56" s="86" t="s">
        <v>118</v>
      </c>
      <c r="C56" s="436">
        <f t="shared" si="2862"/>
        <v>256</v>
      </c>
      <c r="D56" s="436">
        <f t="shared" si="2863"/>
        <v>256</v>
      </c>
      <c r="E56" s="436"/>
      <c r="F56" s="436">
        <f>VLOOKUP(B56,'[5]测算分配表'!$B:$P,15,0)</f>
        <v>256</v>
      </c>
      <c r="G56" s="435">
        <f>VLOOKUP(B56,'[5]测算分配表'!$B:$H,7,0)</f>
        <v>126.509237316671</v>
      </c>
      <c r="H56" s="435">
        <f>VLOOKUP(B56,'[5]测算分配表'!$B:$J,9,0)</f>
        <v>0</v>
      </c>
      <c r="I56" s="435">
        <f>VLOOKUP(B56,'[5]测算分配表'!$B:$K,10,0)</f>
        <v>0</v>
      </c>
      <c r="J56" s="436">
        <f>VLOOKUP(B56,'[5]测算分配表'!$B:$L,11,0)</f>
        <v>0</v>
      </c>
      <c r="K56" s="453">
        <f>VLOOKUP(B56,'[5]测算分配表'!$B:$N,13,0)</f>
        <v>129.25406303762099</v>
      </c>
      <c r="L56" s="436"/>
      <c r="M56" s="436"/>
      <c r="N56" s="436"/>
      <c r="O56" s="436"/>
      <c r="P56" s="436"/>
      <c r="Q56" s="436"/>
      <c r="R56" s="436"/>
      <c r="S56" s="436"/>
      <c r="T56" s="455"/>
      <c r="U56" s="5" t="str">
        <f>VLOOKUP(B:B,'[4]合计'!$B:$C,2,0)</f>
        <v>非贫困县</v>
      </c>
      <c r="V56" s="5">
        <f>VLOOKUP(B:B,'[4]合计'!$B:$L,11,FALSE)</f>
        <v>0</v>
      </c>
    </row>
    <row r="57" ht="18" customHeight="1">
      <c r="A57" s="85">
        <v>40</v>
      </c>
      <c r="B57" s="86" t="s">
        <v>119</v>
      </c>
      <c r="C57" s="436">
        <f t="shared" si="2862"/>
        <v>95</v>
      </c>
      <c r="D57" s="436">
        <f t="shared" si="2863"/>
        <v>95</v>
      </c>
      <c r="E57" s="436"/>
      <c r="F57" s="436">
        <f>VLOOKUP(B57,'[5]测算分配表'!$B:$P,15,0)</f>
        <v>95</v>
      </c>
      <c r="G57" s="435">
        <f>VLOOKUP(B57,'[5]测算分配表'!$B:$H,7,0)</f>
        <v>145.06323791411199</v>
      </c>
      <c r="H57" s="435">
        <f>VLOOKUP(B57,'[5]测算分配表'!$B:$J,9,0)</f>
        <v>0</v>
      </c>
      <c r="I57" s="435">
        <f>VLOOKUP(B57,'[5]测算分配表'!$B:$K,10,0)</f>
        <v>0</v>
      </c>
      <c r="J57" s="436">
        <f>VLOOKUP(B57,'[5]测算分配表'!$B:$L,11,0)</f>
        <v>-50</v>
      </c>
      <c r="K57" s="453">
        <f>VLOOKUP(B57,'[5]测算分配表'!$B:$N,13,0)</f>
        <v>0</v>
      </c>
      <c r="L57" s="436"/>
      <c r="M57" s="436"/>
      <c r="N57" s="436"/>
      <c r="O57" s="436"/>
      <c r="P57" s="436"/>
      <c r="Q57" s="436"/>
      <c r="R57" s="436"/>
      <c r="S57" s="436"/>
      <c r="T57" s="455"/>
      <c r="U57" s="5" t="str">
        <f>VLOOKUP(B:B,'[4]合计'!$B:$C,2,0)</f>
        <v>非贫困县</v>
      </c>
      <c r="V57" s="5">
        <f>VLOOKUP(B:B,'[4]合计'!$B:$L,11,FALSE)</f>
        <v>0</v>
      </c>
    </row>
    <row r="58" ht="18" customHeight="1">
      <c r="A58" s="85">
        <v>41</v>
      </c>
      <c r="B58" s="86" t="s">
        <v>120</v>
      </c>
      <c r="C58" s="436">
        <f t="shared" si="2862"/>
        <v>191</v>
      </c>
      <c r="D58" s="436">
        <f t="shared" si="2863"/>
        <v>191</v>
      </c>
      <c r="E58" s="436"/>
      <c r="F58" s="436">
        <f>VLOOKUP(B58,'[5]测算分配表'!$B:$P,15,0)</f>
        <v>191</v>
      </c>
      <c r="G58" s="435">
        <f>VLOOKUP(B58,'[5]测算分配表'!$B:$H,7,0)</f>
        <v>190.770095274612</v>
      </c>
      <c r="H58" s="435">
        <f>VLOOKUP(B58,'[5]测算分配表'!$B:$J,9,0)</f>
        <v>0</v>
      </c>
      <c r="I58" s="435">
        <f>VLOOKUP(B58,'[5]测算分配表'!$B:$K,10,0)</f>
        <v>0</v>
      </c>
      <c r="J58" s="436">
        <f>VLOOKUP(B58,'[5]测算分配表'!$B:$L,11,0)</f>
        <v>0</v>
      </c>
      <c r="K58" s="453">
        <f>VLOOKUP(B58,'[5]测算分配表'!$B:$N,13,0)</f>
        <v>0</v>
      </c>
      <c r="L58" s="436"/>
      <c r="M58" s="436"/>
      <c r="N58" s="436"/>
      <c r="O58" s="436"/>
      <c r="P58" s="436"/>
      <c r="Q58" s="436"/>
      <c r="R58" s="436"/>
      <c r="S58" s="436"/>
      <c r="T58" s="455"/>
      <c r="U58" s="5" t="str">
        <f>VLOOKUP(B:B,'[4]合计'!$B:$C,2,0)</f>
        <v>非贫困县</v>
      </c>
      <c r="V58" s="5">
        <f>VLOOKUP(B:B,'[4]合计'!$B:$L,11,FALSE)</f>
        <v>0</v>
      </c>
    </row>
    <row r="59" s="10" customFormat="1" ht="18" customHeight="1">
      <c r="A59" s="427"/>
      <c r="B59" s="431" t="s">
        <v>121</v>
      </c>
      <c r="C59" s="432">
        <f t="shared" ref="C59:I59" si="2864">SUM(C60:C73)</f>
        <v>5484</v>
      </c>
      <c r="D59" s="432">
        <f t="shared" si="2864"/>
        <v>5484</v>
      </c>
      <c r="E59" s="432">
        <f t="shared" si="2864"/>
        <v>0</v>
      </c>
      <c r="F59" s="432">
        <f t="shared" si="2864"/>
        <v>5484</v>
      </c>
      <c r="G59" s="433">
        <f t="shared" si="2864"/>
        <v>4519.5883144650397</v>
      </c>
      <c r="H59" s="433">
        <f t="shared" si="2864"/>
        <v>1100</v>
      </c>
      <c r="I59" s="433">
        <f t="shared" si="2864"/>
        <v>100</v>
      </c>
      <c r="J59" s="432">
        <f t="shared" ref="J59:S59" si="2865">SUM(J60:J73)</f>
        <v>-450</v>
      </c>
      <c r="K59" s="450">
        <f t="shared" si="2865"/>
        <v>214.78891224436899</v>
      </c>
      <c r="L59" s="432">
        <f t="shared" si="2865"/>
        <v>0</v>
      </c>
      <c r="M59" s="432">
        <f t="shared" si="2865"/>
        <v>0</v>
      </c>
      <c r="N59" s="432">
        <f t="shared" si="2865"/>
        <v>0</v>
      </c>
      <c r="O59" s="432">
        <f t="shared" si="2865"/>
        <v>0</v>
      </c>
      <c r="P59" s="432">
        <f t="shared" si="2865"/>
        <v>0</v>
      </c>
      <c r="Q59" s="432">
        <f t="shared" si="2865"/>
        <v>0</v>
      </c>
      <c r="R59" s="432">
        <f t="shared" si="2865"/>
        <v>0</v>
      </c>
      <c r="S59" s="432">
        <f t="shared" si="2865"/>
        <v>0</v>
      </c>
      <c r="T59" s="14"/>
      <c r="U59" s="5">
        <f>VLOOKUP(B:B,'[4]合计'!$B:$C,2,0)</f>
        <v>0</v>
      </c>
      <c r="V59" s="5">
        <f>VLOOKUP(B:B,'[4]合计'!$B:$L,11,FALSE)</f>
        <v>0</v>
      </c>
    </row>
    <row r="60" s="10" customFormat="1" ht="18" customHeight="1">
      <c r="A60" s="434">
        <v>1111</v>
      </c>
      <c r="B60" s="452" t="s">
        <v>122</v>
      </c>
      <c r="C60" s="436">
        <f t="shared" ref="C60:C73" si="2866">D60+M60+S60</f>
        <v>0</v>
      </c>
      <c r="D60" s="436">
        <f t="shared" ref="D60:D73" si="2867">E60+F60</f>
        <v>0</v>
      </c>
      <c r="E60" s="436"/>
      <c r="F60" s="436">
        <f>VLOOKUP(B60,[5]测算分配表!$B:$P,15,0)</f>
        <v>0</v>
      </c>
      <c r="G60" s="435">
        <f>VLOOKUP(B60,[5]测算分配表!$B:$H,7,0)</f>
        <v>0</v>
      </c>
      <c r="H60" s="435">
        <f>VLOOKUP(B60,[5]测算分配表!$B:$J,9,0)</f>
        <v>0</v>
      </c>
      <c r="I60" s="435">
        <f>VLOOKUP(B60,[5]测算分配表!$B:$K,10,0)</f>
        <v>0</v>
      </c>
      <c r="J60" s="436">
        <f>VLOOKUP(B60,[5]测算分配表!$B:$L,11,0)</f>
        <v>0</v>
      </c>
      <c r="K60" s="453">
        <f>VLOOKUP(B60,[5]测算分配表!$B:$N,13,0)</f>
        <v>0</v>
      </c>
      <c r="L60" s="436"/>
      <c r="M60" s="436"/>
      <c r="N60" s="436"/>
      <c r="O60" s="436"/>
      <c r="P60" s="436"/>
      <c r="Q60" s="436"/>
      <c r="R60" s="436"/>
      <c r="S60" s="436"/>
      <c r="T60" s="14"/>
      <c r="U60" s="5">
        <f>VLOOKUP(B:B,'[4]合计'!$B:$C,2,0)</f>
        <v>0</v>
      </c>
      <c r="V60" s="5">
        <f>VLOOKUP(B:B,'[4]合计'!$B:$L,11,FALSE)</f>
        <v>0</v>
      </c>
    </row>
    <row r="61" ht="18" customHeight="1">
      <c r="A61" s="85">
        <v>42</v>
      </c>
      <c r="B61" s="86" t="s">
        <v>123</v>
      </c>
      <c r="C61" s="436">
        <f t="shared" si="2866"/>
        <v>277</v>
      </c>
      <c r="D61" s="436">
        <f t="shared" si="2867"/>
        <v>277</v>
      </c>
      <c r="E61" s="436"/>
      <c r="F61" s="436">
        <f>VLOOKUP(B61,'[5]测算分配表'!$B:$P,15,0)</f>
        <v>277</v>
      </c>
      <c r="G61" s="435">
        <f>VLOOKUP(B61,'[5]测算分配表'!$B:$H,7,0)</f>
        <v>177.00659412214</v>
      </c>
      <c r="H61" s="435">
        <f>VLOOKUP(B61,'[5]测算分配表'!$B:$J,9,0)</f>
        <v>100</v>
      </c>
      <c r="I61" s="435">
        <f>VLOOKUP(B61,'[5]测算分配表'!$B:$K,10,0)</f>
        <v>0</v>
      </c>
      <c r="J61" s="436">
        <f>VLOOKUP(B61,'[5]测算分配表'!$B:$L,11,0)</f>
        <v>0</v>
      </c>
      <c r="K61" s="453">
        <f>VLOOKUP(B61,'[5]测算分配表'!$B:$N,13,0)</f>
        <v>0</v>
      </c>
      <c r="L61" s="436"/>
      <c r="M61" s="436"/>
      <c r="N61" s="436"/>
      <c r="O61" s="436"/>
      <c r="P61" s="436"/>
      <c r="Q61" s="436"/>
      <c r="R61" s="436"/>
      <c r="S61" s="436"/>
      <c r="T61" s="455"/>
      <c r="U61" s="5" t="str">
        <f>VLOOKUP(B:B,'[4]合计'!$B:$C,2,0)</f>
        <v>非贫困县</v>
      </c>
      <c r="V61" s="5">
        <f>VLOOKUP(B:B,'[4]合计'!$B:$L,11,FALSE)</f>
        <v>0</v>
      </c>
    </row>
    <row r="62" ht="18" customHeight="1">
      <c r="A62" s="85">
        <v>43</v>
      </c>
      <c r="B62" s="86" t="s">
        <v>124</v>
      </c>
      <c r="C62" s="436">
        <f t="shared" si="2866"/>
        <v>307</v>
      </c>
      <c r="D62" s="436">
        <f t="shared" si="2867"/>
        <v>307</v>
      </c>
      <c r="E62" s="436"/>
      <c r="F62" s="436">
        <f>VLOOKUP(B62,'[5]测算分配表'!$B:$P,15,0)</f>
        <v>307</v>
      </c>
      <c r="G62" s="435">
        <f>VLOOKUP(B62,'[5]测算分配表'!$B:$H,7,0)</f>
        <v>206.66562793304499</v>
      </c>
      <c r="H62" s="435">
        <f>VLOOKUP(B62,'[5]测算分配表'!$B:$J,9,0)</f>
        <v>100</v>
      </c>
      <c r="I62" s="435">
        <f>VLOOKUP(B62,'[5]测算分配表'!$B:$K,10,0)</f>
        <v>0</v>
      </c>
      <c r="J62" s="436">
        <f>VLOOKUP(B62,'[5]测算分配表'!$B:$L,11,0)</f>
        <v>0</v>
      </c>
      <c r="K62" s="453">
        <f>VLOOKUP(B62,'[5]测算分配表'!$B:$N,13,0)</f>
        <v>0</v>
      </c>
      <c r="L62" s="436"/>
      <c r="M62" s="436"/>
      <c r="N62" s="436"/>
      <c r="O62" s="436"/>
      <c r="P62" s="436"/>
      <c r="Q62" s="436"/>
      <c r="R62" s="436"/>
      <c r="S62" s="436"/>
      <c r="T62" s="455"/>
      <c r="U62" s="5" t="str">
        <f>VLOOKUP(B:B,'[4]合计'!$B:$C,2,0)</f>
        <v>非贫困县</v>
      </c>
      <c r="V62" s="5">
        <f>VLOOKUP(B:B,'[4]合计'!$B:$L,11,FALSE)</f>
        <v>0</v>
      </c>
    </row>
    <row r="63" ht="18" customHeight="1">
      <c r="A63" s="85">
        <v>44</v>
      </c>
      <c r="B63" s="86" t="s">
        <v>125</v>
      </c>
      <c r="C63" s="436">
        <f t="shared" si="2866"/>
        <v>291</v>
      </c>
      <c r="D63" s="436">
        <f t="shared" si="2867"/>
        <v>291</v>
      </c>
      <c r="E63" s="436"/>
      <c r="F63" s="436">
        <f>VLOOKUP(B63,'[5]测算分配表'!$B:$P,15,0)</f>
        <v>291</v>
      </c>
      <c r="G63" s="435">
        <f>VLOOKUP(B63,'[5]测算分配表'!$B:$H,7,0)</f>
        <v>241.482673282702</v>
      </c>
      <c r="H63" s="435">
        <f>VLOOKUP(B63,'[5]测算分配表'!$B:$J,9,0)</f>
        <v>100</v>
      </c>
      <c r="I63" s="435">
        <f>VLOOKUP(B63,'[5]测算分配表'!$B:$K,10,0)</f>
        <v>0</v>
      </c>
      <c r="J63" s="436">
        <f>VLOOKUP(B63,'[5]测算分配表'!$B:$L,11,0)</f>
        <v>-50</v>
      </c>
      <c r="K63" s="453">
        <f>VLOOKUP(B63,'[5]测算分配表'!$B:$N,13,0)</f>
        <v>0</v>
      </c>
      <c r="L63" s="436"/>
      <c r="M63" s="436"/>
      <c r="N63" s="436"/>
      <c r="O63" s="436"/>
      <c r="P63" s="436"/>
      <c r="Q63" s="436"/>
      <c r="R63" s="436"/>
      <c r="S63" s="436"/>
      <c r="T63" s="455"/>
      <c r="U63" s="5" t="str">
        <f>VLOOKUP(B:B,'[4]合计'!$B:$C,2,0)</f>
        <v>非贫困县</v>
      </c>
      <c r="V63" s="5">
        <f>VLOOKUP(B:B,'[4]合计'!$B:$L,11,FALSE)</f>
        <v>0</v>
      </c>
    </row>
    <row r="64" ht="18" customHeight="1">
      <c r="A64" s="85">
        <v>45</v>
      </c>
      <c r="B64" s="86" t="s">
        <v>127</v>
      </c>
      <c r="C64" s="436">
        <f t="shared" si="2866"/>
        <v>226</v>
      </c>
      <c r="D64" s="436">
        <f t="shared" si="2867"/>
        <v>226</v>
      </c>
      <c r="E64" s="436"/>
      <c r="F64" s="436">
        <f>VLOOKUP(B64,'[5]测算分配表'!$B:$P,15,0)</f>
        <v>226</v>
      </c>
      <c r="G64" s="435">
        <f>VLOOKUP(B64,'[5]测算分配表'!$B:$H,7,0)</f>
        <v>226.02495692088399</v>
      </c>
      <c r="H64" s="435">
        <f>VLOOKUP(B64,'[5]测算分配表'!$B:$J,9,0)</f>
        <v>100</v>
      </c>
      <c r="I64" s="435">
        <f>VLOOKUP(B64,'[5]测算分配表'!$B:$K,10,0)</f>
        <v>0</v>
      </c>
      <c r="J64" s="436">
        <f>VLOOKUP(B64,'[5]测算分配表'!$B:$L,11,0)</f>
        <v>-100</v>
      </c>
      <c r="K64" s="453">
        <f>VLOOKUP(B64,'[5]测算分配表'!$B:$N,13,0)</f>
        <v>0</v>
      </c>
      <c r="L64" s="436"/>
      <c r="M64" s="436"/>
      <c r="N64" s="436"/>
      <c r="O64" s="436"/>
      <c r="P64" s="436"/>
      <c r="Q64" s="436"/>
      <c r="R64" s="436"/>
      <c r="S64" s="436"/>
      <c r="T64" s="455"/>
      <c r="U64" s="5" t="str">
        <f>VLOOKUP(B:B,'[4]合计'!$B:$C,2,0)</f>
        <v>非贫困县</v>
      </c>
      <c r="V64" s="5">
        <f>VLOOKUP(B:B,'[4]合计'!$B:$L,11,FALSE)</f>
        <v>0</v>
      </c>
    </row>
    <row r="65" ht="18" customHeight="1">
      <c r="A65" s="85">
        <v>46</v>
      </c>
      <c r="B65" s="86" t="s">
        <v>128</v>
      </c>
      <c r="C65" s="436">
        <f t="shared" si="2866"/>
        <v>480</v>
      </c>
      <c r="D65" s="436">
        <f t="shared" si="2867"/>
        <v>480</v>
      </c>
      <c r="E65" s="436"/>
      <c r="F65" s="436">
        <f>VLOOKUP(B65,'[5]测算分配表'!$B:$P,15,0)</f>
        <v>480</v>
      </c>
      <c r="G65" s="435">
        <f>VLOOKUP(B65,'[5]测算分配表'!$B:$H,7,0)</f>
        <v>181.00773757258901</v>
      </c>
      <c r="H65" s="435">
        <f>VLOOKUP(B65,'[5]测算分配表'!$B:$J,9,0)</f>
        <v>200</v>
      </c>
      <c r="I65" s="435">
        <f>VLOOKUP(B65,'[5]测算分配表'!$B:$K,10,0)</f>
        <v>0</v>
      </c>
      <c r="J65" s="436">
        <f>VLOOKUP(B65,'[5]测算分配表'!$B:$L,11,0)</f>
        <v>0</v>
      </c>
      <c r="K65" s="453">
        <f>VLOOKUP(B65,'[5]测算分配表'!$B:$N,13,0)</f>
        <v>98.710160273441403</v>
      </c>
      <c r="L65" s="436"/>
      <c r="M65" s="436"/>
      <c r="N65" s="436"/>
      <c r="O65" s="436"/>
      <c r="P65" s="436"/>
      <c r="Q65" s="436"/>
      <c r="R65" s="436"/>
      <c r="S65" s="436"/>
      <c r="T65" s="455"/>
      <c r="U65" s="5" t="str">
        <f>VLOOKUP(B:B,'[4]合计'!$B:$C,2,0)</f>
        <v>贫困</v>
      </c>
      <c r="V65" s="5">
        <f>VLOOKUP(B:B,'[4]合计'!$B:$L,11,FALSE)</f>
        <v>0</v>
      </c>
    </row>
    <row r="66" ht="18" customHeight="1">
      <c r="A66" s="85">
        <v>47</v>
      </c>
      <c r="B66" s="86" t="s">
        <v>129</v>
      </c>
      <c r="C66" s="436">
        <f t="shared" si="2866"/>
        <v>336</v>
      </c>
      <c r="D66" s="436">
        <f t="shared" si="2867"/>
        <v>336</v>
      </c>
      <c r="E66" s="436"/>
      <c r="F66" s="436">
        <f>VLOOKUP(B66,'[5]测算分配表'!$B:$P,15,0)</f>
        <v>336</v>
      </c>
      <c r="G66" s="435">
        <f>VLOOKUP(B66,'[5]测算分配表'!$B:$H,7,0)</f>
        <v>235.88242206262299</v>
      </c>
      <c r="H66" s="435">
        <f>VLOOKUP(B66,'[5]测算分配表'!$B:$J,9,0)</f>
        <v>100</v>
      </c>
      <c r="I66" s="435">
        <f>VLOOKUP(B66,'[5]测算分配表'!$B:$K,10,0)</f>
        <v>0</v>
      </c>
      <c r="J66" s="436">
        <f>VLOOKUP(B66,'[5]测算分配表'!$B:$L,11,0)</f>
        <v>0</v>
      </c>
      <c r="K66" s="453">
        <f>VLOOKUP(B66,'[5]测算分配表'!$B:$N,13,0)</f>
        <v>0</v>
      </c>
      <c r="L66" s="436"/>
      <c r="M66" s="436"/>
      <c r="N66" s="436"/>
      <c r="O66" s="436"/>
      <c r="P66" s="436"/>
      <c r="Q66" s="436"/>
      <c r="R66" s="436"/>
      <c r="S66" s="436"/>
      <c r="T66" s="455"/>
      <c r="U66" s="5" t="str">
        <f>VLOOKUP(B:B,'[4]合计'!$B:$C,2,0)</f>
        <v>非贫困县</v>
      </c>
      <c r="V66" s="5">
        <f>VLOOKUP(B:B,'[4]合计'!$B:$L,11,FALSE)</f>
        <v>0</v>
      </c>
    </row>
    <row r="67" ht="18" customHeight="1">
      <c r="A67" s="85">
        <v>48</v>
      </c>
      <c r="B67" s="86" t="s">
        <v>130</v>
      </c>
      <c r="C67" s="436">
        <f t="shared" si="2866"/>
        <v>336</v>
      </c>
      <c r="D67" s="436">
        <f t="shared" si="2867"/>
        <v>336</v>
      </c>
      <c r="E67" s="436"/>
      <c r="F67" s="436">
        <f>VLOOKUP(B67,'[5]测算分配表'!$B:$P,15,0)</f>
        <v>336</v>
      </c>
      <c r="G67" s="435">
        <f>VLOOKUP(B67,'[5]测算分配表'!$B:$H,7,0)</f>
        <v>220.390380727843</v>
      </c>
      <c r="H67" s="435">
        <f>VLOOKUP(B67,'[5]测算分配表'!$B:$J,9,0)</f>
        <v>0</v>
      </c>
      <c r="I67" s="435">
        <f>VLOOKUP(B67,'[5]测算分配表'!$B:$K,10,0)</f>
        <v>0</v>
      </c>
      <c r="J67" s="436">
        <f>VLOOKUP(B67,'[5]测算分配表'!$B:$L,11,0)</f>
        <v>0</v>
      </c>
      <c r="K67" s="453">
        <f>VLOOKUP(B67,'[5]测算分配表'!$B:$N,13,0)</f>
        <v>116.078751970928</v>
      </c>
      <c r="L67" s="436"/>
      <c r="M67" s="436"/>
      <c r="N67" s="436"/>
      <c r="O67" s="436"/>
      <c r="P67" s="436"/>
      <c r="Q67" s="436"/>
      <c r="R67" s="436"/>
      <c r="S67" s="436"/>
      <c r="T67" s="455"/>
      <c r="U67" s="5" t="str">
        <f>VLOOKUP(B:B,'[4]合计'!$B:$C,2,0)</f>
        <v>贫困</v>
      </c>
      <c r="V67" s="5">
        <f>VLOOKUP(B:B,'[4]合计'!$B:$L,11,FALSE)</f>
        <v>0</v>
      </c>
    </row>
    <row r="68" ht="18" customHeight="1">
      <c r="A68" s="85">
        <v>49</v>
      </c>
      <c r="B68" s="86" t="s">
        <v>126</v>
      </c>
      <c r="C68" s="436">
        <f t="shared" si="2866"/>
        <v>271</v>
      </c>
      <c r="D68" s="436">
        <f t="shared" si="2867"/>
        <v>271</v>
      </c>
      <c r="E68" s="436"/>
      <c r="F68" s="436">
        <f>VLOOKUP(B68,'[5]测算分配表'!$B:$P,15,0)</f>
        <v>271</v>
      </c>
      <c r="G68" s="435">
        <f>VLOOKUP(B68,'[5]测算分配表'!$B:$H,7,0)</f>
        <v>321.24647504256399</v>
      </c>
      <c r="H68" s="435">
        <f>VLOOKUP(B68,'[5]测算分配表'!$B:$J,9,0)</f>
        <v>0</v>
      </c>
      <c r="I68" s="435">
        <f>VLOOKUP(B68,'[5]测算分配表'!$B:$K,10,0)</f>
        <v>0</v>
      </c>
      <c r="J68" s="436">
        <f>VLOOKUP(B68,'[5]测算分配表'!$B:$L,11,0)</f>
        <v>-50</v>
      </c>
      <c r="K68" s="453">
        <f>VLOOKUP(B68,'[5]测算分配表'!$B:$N,13,0)</f>
        <v>0</v>
      </c>
      <c r="L68" s="436"/>
      <c r="M68" s="436"/>
      <c r="N68" s="436"/>
      <c r="O68" s="436"/>
      <c r="P68" s="436"/>
      <c r="Q68" s="436"/>
      <c r="R68" s="436"/>
      <c r="S68" s="436"/>
      <c r="T68" s="455"/>
      <c r="U68" s="5" t="str">
        <f>VLOOKUP(B:B,'[4]合计'!$B:$C,2,0)</f>
        <v>贫困</v>
      </c>
      <c r="V68" s="5" t="str">
        <f>VLOOKUP(B:B,'[4]合计'!$B:$L,11,FALSE)</f>
        <v>省级</v>
      </c>
    </row>
    <row r="69" ht="18" customHeight="1">
      <c r="A69" s="85">
        <v>50</v>
      </c>
      <c r="B69" s="86" t="s">
        <v>135</v>
      </c>
      <c r="C69" s="436">
        <f t="shared" si="2866"/>
        <v>172</v>
      </c>
      <c r="D69" s="436">
        <f t="shared" si="2867"/>
        <v>172</v>
      </c>
      <c r="E69" s="436"/>
      <c r="F69" s="436">
        <f>VLOOKUP(B69,'[5]测算分配表'!$B:$P,15,0)</f>
        <v>172</v>
      </c>
      <c r="G69" s="435">
        <f>VLOOKUP(B69,'[5]测算分配表'!$B:$H,7,0)</f>
        <v>171.641028107935</v>
      </c>
      <c r="H69" s="435">
        <f>VLOOKUP(B69,'[5]测算分配表'!$B:$J,9,0)</f>
        <v>0</v>
      </c>
      <c r="I69" s="435">
        <f>VLOOKUP(B69,'[5]测算分配表'!$B:$K,10,0)</f>
        <v>0</v>
      </c>
      <c r="J69" s="436">
        <f>VLOOKUP(B69,'[5]测算分配表'!$B:$L,11,0)</f>
        <v>0</v>
      </c>
      <c r="K69" s="453">
        <f>VLOOKUP(B69,'[5]测算分配表'!$B:$N,13,0)</f>
        <v>0</v>
      </c>
      <c r="L69" s="436"/>
      <c r="M69" s="436"/>
      <c r="N69" s="436"/>
      <c r="O69" s="436"/>
      <c r="P69" s="436"/>
      <c r="Q69" s="436"/>
      <c r="R69" s="436"/>
      <c r="S69" s="436"/>
      <c r="T69" s="455"/>
      <c r="U69" s="5" t="str">
        <f>VLOOKUP(B:B,'[4]合计'!$B:$C,2,0)</f>
        <v>非贫困县</v>
      </c>
      <c r="V69" s="5">
        <f>VLOOKUP(B:B,'[4]合计'!$B:$L,11,FALSE)</f>
        <v>0</v>
      </c>
    </row>
    <row r="70" ht="18" customHeight="1">
      <c r="A70" s="85">
        <v>51</v>
      </c>
      <c r="B70" s="86" t="s">
        <v>133</v>
      </c>
      <c r="C70" s="436">
        <f t="shared" si="2866"/>
        <v>835</v>
      </c>
      <c r="D70" s="436">
        <f t="shared" si="2867"/>
        <v>835</v>
      </c>
      <c r="E70" s="436"/>
      <c r="F70" s="436">
        <f>VLOOKUP(B70,'[5]测算分配表'!$B:$P,15,0)</f>
        <v>835</v>
      </c>
      <c r="G70" s="435">
        <f>VLOOKUP(B70,'[5]测算分配表'!$B:$H,7,0)</f>
        <v>785.16781737217502</v>
      </c>
      <c r="H70" s="435">
        <f>VLOOKUP(B70,'[5]测算分配表'!$B:$J,9,0)</f>
        <v>200</v>
      </c>
      <c r="I70" s="435">
        <f>VLOOKUP(B70,'[5]测算分配表'!$B:$K,10,0)</f>
        <v>0</v>
      </c>
      <c r="J70" s="436">
        <f>VLOOKUP(B70,'[5]测算分配表'!$B:$L,11,0)</f>
        <v>-150</v>
      </c>
      <c r="K70" s="453">
        <f>VLOOKUP(B70,'[5]测算分配表'!$B:$N,13,0)</f>
        <v>0</v>
      </c>
      <c r="L70" s="436"/>
      <c r="M70" s="436"/>
      <c r="N70" s="436"/>
      <c r="O70" s="436"/>
      <c r="P70" s="436"/>
      <c r="Q70" s="436"/>
      <c r="R70" s="436"/>
      <c r="S70" s="436"/>
      <c r="T70" s="455"/>
      <c r="U70" s="5" t="str">
        <f>VLOOKUP(B:B,'[4]合计'!$B:$C,2,0)</f>
        <v>深度贫困</v>
      </c>
      <c r="V70" s="5" t="str">
        <f>VLOOKUP(B:B,'[4]合计'!$B:$L,11,FALSE)</f>
        <v>国家级</v>
      </c>
    </row>
    <row r="71" ht="18" customHeight="1">
      <c r="A71" s="85">
        <v>52</v>
      </c>
      <c r="B71" s="86" t="s">
        <v>131</v>
      </c>
      <c r="C71" s="436">
        <f t="shared" si="2866"/>
        <v>614</v>
      </c>
      <c r="D71" s="436">
        <f t="shared" si="2867"/>
        <v>614</v>
      </c>
      <c r="E71" s="436"/>
      <c r="F71" s="436">
        <f>VLOOKUP(B71,'[5]测算分配表'!$B:$P,15,0)</f>
        <v>614</v>
      </c>
      <c r="G71" s="435">
        <f>VLOOKUP(B71,'[5]测算分配表'!$B:$H,7,0)</f>
        <v>663.83728049287697</v>
      </c>
      <c r="H71" s="435">
        <f>VLOOKUP(B71,'[5]测算分配表'!$B:$J,9,0)</f>
        <v>0</v>
      </c>
      <c r="I71" s="435">
        <f>VLOOKUP(B71,'[5]测算分配表'!$B:$K,10,0)</f>
        <v>0</v>
      </c>
      <c r="J71" s="436">
        <f>VLOOKUP(B71,'[5]测算分配表'!$B:$L,11,0)</f>
        <v>-50</v>
      </c>
      <c r="K71" s="453">
        <f>VLOOKUP(B71,'[5]测算分配表'!$B:$N,13,0)</f>
        <v>0</v>
      </c>
      <c r="L71" s="436"/>
      <c r="M71" s="436"/>
      <c r="N71" s="436"/>
      <c r="O71" s="436"/>
      <c r="P71" s="436"/>
      <c r="Q71" s="436"/>
      <c r="R71" s="436"/>
      <c r="S71" s="436"/>
      <c r="T71" s="455"/>
      <c r="U71" s="5" t="str">
        <f>VLOOKUP(B:B,'[4]合计'!$B:$C,2,0)</f>
        <v>深度贫困</v>
      </c>
      <c r="V71" s="5" t="str">
        <f>VLOOKUP(B:B,'[4]合计'!$B:$L,11,FALSE)</f>
        <v>国家级</v>
      </c>
    </row>
    <row r="72" ht="18" customHeight="1">
      <c r="A72" s="85">
        <v>53</v>
      </c>
      <c r="B72" s="86" t="s">
        <v>132</v>
      </c>
      <c r="C72" s="436">
        <f t="shared" si="2866"/>
        <v>519</v>
      </c>
      <c r="D72" s="436">
        <f t="shared" si="2867"/>
        <v>519</v>
      </c>
      <c r="E72" s="436"/>
      <c r="F72" s="436">
        <f>VLOOKUP(B72,'[5]测算分配表'!$B:$P,15,0)</f>
        <v>519</v>
      </c>
      <c r="G72" s="435">
        <f>VLOOKUP(B72,'[5]测算分配表'!$B:$H,7,0)</f>
        <v>569.41872834156197</v>
      </c>
      <c r="H72" s="435">
        <f>VLOOKUP(B72,'[5]测算分配表'!$B:$J,9,0)</f>
        <v>0</v>
      </c>
      <c r="I72" s="435">
        <f>VLOOKUP(B72,'[5]测算分配表'!$B:$K,10,0)</f>
        <v>0</v>
      </c>
      <c r="J72" s="436">
        <f>VLOOKUP(B72,'[5]测算分配表'!$B:$L,11,0)</f>
        <v>-50</v>
      </c>
      <c r="K72" s="453">
        <f>VLOOKUP(B72,'[5]测算分配表'!$B:$N,13,0)</f>
        <v>0</v>
      </c>
      <c r="L72" s="436"/>
      <c r="M72" s="436"/>
      <c r="N72" s="436"/>
      <c r="O72" s="436"/>
      <c r="P72" s="436"/>
      <c r="Q72" s="436"/>
      <c r="R72" s="436"/>
      <c r="S72" s="436"/>
      <c r="T72" s="455"/>
      <c r="U72" s="5" t="str">
        <f>VLOOKUP(B:B,'[4]合计'!$B:$C,2,0)</f>
        <v>深度贫困</v>
      </c>
      <c r="V72" s="5" t="str">
        <f>VLOOKUP(B:B,'[4]合计'!$B:$L,11,FALSE)</f>
        <v>国家级</v>
      </c>
    </row>
    <row r="73" ht="18" customHeight="1">
      <c r="A73" s="85">
        <v>54</v>
      </c>
      <c r="B73" s="86" t="s">
        <v>134</v>
      </c>
      <c r="C73" s="436">
        <f t="shared" si="2866"/>
        <v>820</v>
      </c>
      <c r="D73" s="436">
        <f t="shared" si="2867"/>
        <v>820</v>
      </c>
      <c r="E73" s="436"/>
      <c r="F73" s="436">
        <f>VLOOKUP(B73,'[5]测算分配表'!$B:$P,15,0)</f>
        <v>820</v>
      </c>
      <c r="G73" s="435">
        <f>VLOOKUP(B73,'[5]测算分配表'!$B:$H,7,0)</f>
        <v>519.81659248609606</v>
      </c>
      <c r="H73" s="435">
        <f>VLOOKUP(B73,'[5]测算分配表'!$B:$J,9,0)</f>
        <v>200</v>
      </c>
      <c r="I73" s="435">
        <f>VLOOKUP(B73,'[5]测算分配表'!$B:$K,10,0)</f>
        <v>100</v>
      </c>
      <c r="J73" s="436">
        <f>VLOOKUP(B73,'[5]测算分配表'!$B:$L,11,0)</f>
        <v>0</v>
      </c>
      <c r="K73" s="453">
        <f>VLOOKUP(B73,'[5]测算分配表'!$B:$N,13,0)</f>
        <v>0</v>
      </c>
      <c r="L73" s="436"/>
      <c r="M73" s="436"/>
      <c r="N73" s="436"/>
      <c r="O73" s="436"/>
      <c r="P73" s="436"/>
      <c r="Q73" s="436"/>
      <c r="R73" s="436"/>
      <c r="S73" s="436"/>
      <c r="T73" s="455"/>
      <c r="U73" s="5" t="str">
        <f>VLOOKUP(B:B,'[4]合计'!$B:$C,2,0)</f>
        <v>深度贫困</v>
      </c>
      <c r="V73" s="5" t="str">
        <f>VLOOKUP(B:B,'[4]合计'!$B:$L,11,FALSE)</f>
        <v>国家级</v>
      </c>
    </row>
    <row r="74" s="10" customFormat="1" ht="18" customHeight="1">
      <c r="A74" s="427"/>
      <c r="B74" s="431" t="s">
        <v>136</v>
      </c>
      <c r="C74" s="432">
        <f t="shared" ref="C74:I74" si="2868">SUM(C75:C83)</f>
        <v>2826</v>
      </c>
      <c r="D74" s="432">
        <f t="shared" si="2868"/>
        <v>2826</v>
      </c>
      <c r="E74" s="432">
        <f t="shared" si="2868"/>
        <v>0</v>
      </c>
      <c r="F74" s="432">
        <f t="shared" si="2868"/>
        <v>2826</v>
      </c>
      <c r="G74" s="433">
        <f t="shared" si="2868"/>
        <v>2668.14375096413</v>
      </c>
      <c r="H74" s="433">
        <f t="shared" si="2868"/>
        <v>200</v>
      </c>
      <c r="I74" s="433">
        <f t="shared" si="2868"/>
        <v>0</v>
      </c>
      <c r="J74" s="432">
        <f t="shared" ref="J74:S74" si="2869">SUM(J75:J83)</f>
        <v>-200</v>
      </c>
      <c r="K74" s="450">
        <f t="shared" si="2869"/>
        <v>159.26136706678801</v>
      </c>
      <c r="L74" s="432">
        <f t="shared" si="2869"/>
        <v>0</v>
      </c>
      <c r="M74" s="432">
        <f t="shared" si="2869"/>
        <v>0</v>
      </c>
      <c r="N74" s="432">
        <f t="shared" si="2869"/>
        <v>0</v>
      </c>
      <c r="O74" s="432">
        <f t="shared" si="2869"/>
        <v>0</v>
      </c>
      <c r="P74" s="432">
        <f t="shared" si="2869"/>
        <v>0</v>
      </c>
      <c r="Q74" s="432">
        <f t="shared" si="2869"/>
        <v>0</v>
      </c>
      <c r="R74" s="432">
        <f t="shared" si="2869"/>
        <v>0</v>
      </c>
      <c r="S74" s="432">
        <f t="shared" si="2869"/>
        <v>0</v>
      </c>
      <c r="T74" s="14"/>
      <c r="U74" s="5">
        <f>VLOOKUP(B:B,'[4]合计'!$B:$C,2,0)</f>
        <v>0</v>
      </c>
      <c r="V74" s="5">
        <f>VLOOKUP(B:B,'[4]合计'!$B:$L,11,FALSE)</f>
        <v>0</v>
      </c>
    </row>
    <row r="75" s="5" customFormat="1" ht="18" customHeight="1">
      <c r="A75" s="434">
        <v>1111</v>
      </c>
      <c r="B75" s="452" t="s">
        <v>137</v>
      </c>
      <c r="C75" s="436">
        <f t="shared" ref="C75:C83" si="2870">D75+M75+S75</f>
        <v>284</v>
      </c>
      <c r="D75" s="436">
        <f t="shared" ref="D75:D83" si="2871">E75+F75</f>
        <v>284</v>
      </c>
      <c r="E75" s="436">
        <v>284</v>
      </c>
      <c r="F75" s="436">
        <f>VLOOKUP(B75,[5]测算分配表!$B:$P,15,0)</f>
        <v>0</v>
      </c>
      <c r="G75" s="435">
        <f>VLOOKUP(B75,[5]测算分配表!$B:$H,7,0)</f>
        <v>0</v>
      </c>
      <c r="H75" s="435">
        <f>VLOOKUP(B75,[5]测算分配表!$B:$J,9,0)</f>
        <v>0</v>
      </c>
      <c r="I75" s="435">
        <f>VLOOKUP(B75,[5]测算分配表!$B:$K,10,0)</f>
        <v>0</v>
      </c>
      <c r="J75" s="436">
        <f>VLOOKUP(B75,[5]测算分配表!$B:$L,11,0)</f>
        <v>0</v>
      </c>
      <c r="K75" s="453">
        <f>VLOOKUP(B75,[5]测算分配表!$B:$N,13,0)</f>
        <v>0</v>
      </c>
      <c r="L75" s="436"/>
      <c r="M75" s="436"/>
      <c r="N75" s="436"/>
      <c r="O75" s="436"/>
      <c r="P75" s="436"/>
      <c r="Q75" s="436"/>
      <c r="R75" s="436"/>
      <c r="S75" s="436"/>
      <c r="T75" s="455"/>
      <c r="U75" s="5">
        <f>VLOOKUP(B:B,'[4]合计'!$B:$C,2,0)</f>
        <v>0</v>
      </c>
      <c r="V75" s="5">
        <f>VLOOKUP(B:B,'[4]合计'!$B:$L,11,FALSE)</f>
        <v>0</v>
      </c>
    </row>
    <row r="76" ht="18" customHeight="1">
      <c r="A76" s="85">
        <v>55</v>
      </c>
      <c r="B76" s="86" t="s">
        <v>138</v>
      </c>
      <c r="C76" s="436">
        <f t="shared" si="2870"/>
        <v>205</v>
      </c>
      <c r="D76" s="436">
        <f t="shared" si="2871"/>
        <v>205</v>
      </c>
      <c r="E76" s="436">
        <f t="shared" ref="E76:E83" si="2872">-ROUND(F76*0.1,0)</f>
        <v>-23</v>
      </c>
      <c r="F76" s="436">
        <f>VLOOKUP(B76,'[5]测算分配表'!$B:$P,15,0)</f>
        <v>228</v>
      </c>
      <c r="G76" s="435">
        <f>VLOOKUP(B76,'[5]测算分配表'!$B:$H,7,0)</f>
        <v>278.10487472378202</v>
      </c>
      <c r="H76" s="435">
        <f>VLOOKUP(B76,'[5]测算分配表'!$B:$J,9,0)</f>
        <v>0</v>
      </c>
      <c r="I76" s="435">
        <f>VLOOKUP(B76,'[5]测算分配表'!$B:$K,10,0)</f>
        <v>0</v>
      </c>
      <c r="J76" s="436">
        <f>VLOOKUP(B76,'[5]测算分配表'!$B:$L,11,0)</f>
        <v>-50</v>
      </c>
      <c r="K76" s="453">
        <f>VLOOKUP(B76,'[5]测算分配表'!$B:$N,13,0)</f>
        <v>0</v>
      </c>
      <c r="L76" s="436"/>
      <c r="M76" s="436"/>
      <c r="N76" s="436"/>
      <c r="O76" s="436"/>
      <c r="P76" s="436"/>
      <c r="Q76" s="436"/>
      <c r="R76" s="436"/>
      <c r="S76" s="436"/>
      <c r="T76" s="455"/>
      <c r="U76" s="5" t="str">
        <f>VLOOKUP(B:B,'[4]合计'!$B:$C,2,0)</f>
        <v>贫困</v>
      </c>
      <c r="V76" s="5">
        <f>VLOOKUP(B:B,'[4]合计'!$B:$L,11,FALSE)</f>
        <v>0</v>
      </c>
    </row>
    <row r="77" s="5" customFormat="1" ht="18" customHeight="1">
      <c r="A77" s="85">
        <v>56</v>
      </c>
      <c r="B77" s="86" t="s">
        <v>139</v>
      </c>
      <c r="C77" s="436">
        <f t="shared" si="2870"/>
        <v>431</v>
      </c>
      <c r="D77" s="436">
        <f t="shared" si="2871"/>
        <v>431</v>
      </c>
      <c r="E77" s="436">
        <f t="shared" si="2872"/>
        <v>-48</v>
      </c>
      <c r="F77" s="436">
        <f>VLOOKUP(B77,'[5]测算分配表'!$B:$P,15,0)</f>
        <v>479</v>
      </c>
      <c r="G77" s="435">
        <f>VLOOKUP(B77,'[5]测算分配表'!$B:$H,7,0)</f>
        <v>279.034895011581</v>
      </c>
      <c r="H77" s="435">
        <f>VLOOKUP(B77,'[5]测算分配表'!$B:$J,9,0)</f>
        <v>200</v>
      </c>
      <c r="I77" s="435">
        <f>VLOOKUP(B77,'[5]测算分配表'!$B:$K,10,0)</f>
        <v>0</v>
      </c>
      <c r="J77" s="436">
        <f>VLOOKUP(B77,'[5]测算分配表'!$B:$L,11,0)</f>
        <v>0</v>
      </c>
      <c r="K77" s="453">
        <f>VLOOKUP(B77,'[5]测算分配表'!$B:$N,13,0)</f>
        <v>0</v>
      </c>
      <c r="L77" s="436"/>
      <c r="M77" s="436"/>
      <c r="N77" s="436"/>
      <c r="O77" s="436"/>
      <c r="P77" s="436"/>
      <c r="Q77" s="436"/>
      <c r="R77" s="436"/>
      <c r="S77" s="436"/>
      <c r="T77" s="455"/>
      <c r="U77" s="5" t="str">
        <f>VLOOKUP(B:B,'[4]合计'!$B:$C,2,0)</f>
        <v>贫困</v>
      </c>
      <c r="V77" s="5">
        <f>VLOOKUP(B:B,'[4]合计'!$B:$L,11,FALSE)</f>
        <v>0</v>
      </c>
    </row>
    <row r="78" ht="18" customHeight="1">
      <c r="A78" s="85">
        <v>57</v>
      </c>
      <c r="B78" s="86" t="s">
        <v>140</v>
      </c>
      <c r="C78" s="436">
        <f t="shared" si="2870"/>
        <v>177</v>
      </c>
      <c r="D78" s="436">
        <f t="shared" si="2871"/>
        <v>177</v>
      </c>
      <c r="E78" s="436">
        <f t="shared" si="2872"/>
        <v>-20</v>
      </c>
      <c r="F78" s="436">
        <f>VLOOKUP(B78,'[5]测算分配表'!$B:$P,15,0)</f>
        <v>197</v>
      </c>
      <c r="G78" s="435">
        <f>VLOOKUP(B78,'[5]测算分配表'!$B:$H,7,0)</f>
        <v>247.253710499291</v>
      </c>
      <c r="H78" s="435">
        <f>VLOOKUP(B78,'[5]测算分配表'!$B:$J,9,0)</f>
        <v>0</v>
      </c>
      <c r="I78" s="435">
        <f>VLOOKUP(B78,'[5]测算分配表'!$B:$K,10,0)</f>
        <v>0</v>
      </c>
      <c r="J78" s="436">
        <f>VLOOKUP(B78,'[5]测算分配表'!$B:$L,11,0)</f>
        <v>-50</v>
      </c>
      <c r="K78" s="453">
        <f>VLOOKUP(B78,'[5]测算分配表'!$B:$N,13,0)</f>
        <v>0</v>
      </c>
      <c r="L78" s="436"/>
      <c r="M78" s="436"/>
      <c r="N78" s="436"/>
      <c r="O78" s="436"/>
      <c r="P78" s="436"/>
      <c r="Q78" s="436"/>
      <c r="R78" s="436"/>
      <c r="S78" s="436"/>
      <c r="T78" s="455"/>
      <c r="U78" s="5" t="str">
        <f>VLOOKUP(B:B,'[4]合计'!$B:$C,2,0)</f>
        <v>贫困</v>
      </c>
      <c r="V78" s="5" t="str">
        <f>VLOOKUP(B:B,'[4]合计'!$B:$L,11,FALSE)</f>
        <v>省级</v>
      </c>
    </row>
    <row r="79" ht="24" customHeight="1">
      <c r="A79" s="85">
        <v>58</v>
      </c>
      <c r="B79" s="86" t="s">
        <v>141</v>
      </c>
      <c r="C79" s="436">
        <f t="shared" si="2870"/>
        <v>0</v>
      </c>
      <c r="D79" s="436">
        <f t="shared" si="2871"/>
        <v>0</v>
      </c>
      <c r="E79" s="436"/>
      <c r="F79" s="436">
        <f>VLOOKUP(B79,'[5]测算分配表'!$B:$P,15,0)</f>
        <v>0</v>
      </c>
      <c r="G79" s="435">
        <f>VLOOKUP(B79,'[5]测算分配表'!$B:$H,7,0)</f>
        <v>0</v>
      </c>
      <c r="H79" s="435">
        <f>VLOOKUP(B79,'[5]测算分配表'!$B:$J,9,0)</f>
        <v>0</v>
      </c>
      <c r="I79" s="435">
        <f>VLOOKUP(B79,'[5]测算分配表'!$B:$K,10,0)</f>
        <v>0</v>
      </c>
      <c r="J79" s="436">
        <f>VLOOKUP(B79,'[5]测算分配表'!$B:$L,11,0)</f>
        <v>0</v>
      </c>
      <c r="K79" s="453">
        <f>VLOOKUP(B79,'[5]测算分配表'!$B:$N,13,0)</f>
        <v>0</v>
      </c>
      <c r="L79" s="436"/>
      <c r="M79" s="436"/>
      <c r="N79" s="436"/>
      <c r="O79" s="436"/>
      <c r="P79" s="436"/>
      <c r="Q79" s="436"/>
      <c r="R79" s="436"/>
      <c r="S79" s="436"/>
      <c r="T79" s="455"/>
      <c r="U79" s="5" t="str">
        <f>VLOOKUP(B:B,'[4]合计'!$B:$C,2,0)</f>
        <v>贫困</v>
      </c>
      <c r="V79" s="5" t="str">
        <f>VLOOKUP(B:B,'[4]合计'!$B:$L,11,FALSE)</f>
        <v>省级</v>
      </c>
    </row>
    <row r="80" ht="18" customHeight="1">
      <c r="A80" s="85">
        <v>59</v>
      </c>
      <c r="B80" s="86" t="s">
        <v>142</v>
      </c>
      <c r="C80" s="436">
        <f t="shared" si="2870"/>
        <v>473</v>
      </c>
      <c r="D80" s="436">
        <f t="shared" si="2871"/>
        <v>473</v>
      </c>
      <c r="E80" s="436">
        <f t="shared" si="2872"/>
        <v>-53</v>
      </c>
      <c r="F80" s="436">
        <f>VLOOKUP(B80,'[5]测算分配表'!$B:$P,15,0)</f>
        <v>526</v>
      </c>
      <c r="G80" s="435">
        <f>VLOOKUP(B80,'[5]测算分配表'!$B:$H,7,0)</f>
        <v>526.438690386301</v>
      </c>
      <c r="H80" s="435">
        <f>VLOOKUP(B80,'[5]测算分配表'!$B:$J,9,0)</f>
        <v>0</v>
      </c>
      <c r="I80" s="435">
        <f>VLOOKUP(B80,'[5]测算分配表'!$B:$K,10,0)</f>
        <v>0</v>
      </c>
      <c r="J80" s="436">
        <f>VLOOKUP(B80,'[5]测算分配表'!$B:$L,11,0)</f>
        <v>0</v>
      </c>
      <c r="K80" s="453">
        <f>VLOOKUP(B80,'[5]测算分配表'!$B:$N,13,0)</f>
        <v>0</v>
      </c>
      <c r="L80" s="436"/>
      <c r="M80" s="436"/>
      <c r="N80" s="436"/>
      <c r="O80" s="436"/>
      <c r="P80" s="436"/>
      <c r="Q80" s="436"/>
      <c r="R80" s="436"/>
      <c r="S80" s="436"/>
      <c r="T80" s="455"/>
      <c r="U80" s="5" t="str">
        <f>VLOOKUP(B:B,'[4]合计'!$B:$C,2,0)</f>
        <v>深度贫困</v>
      </c>
      <c r="V80" s="5" t="str">
        <f>VLOOKUP(B:B,'[4]合计'!$B:$L,11,FALSE)</f>
        <v>国家级</v>
      </c>
    </row>
    <row r="81" ht="18" customHeight="1">
      <c r="A81" s="85">
        <v>60</v>
      </c>
      <c r="B81" s="86" t="s">
        <v>143</v>
      </c>
      <c r="C81" s="436">
        <f t="shared" si="2870"/>
        <v>481</v>
      </c>
      <c r="D81" s="436">
        <f t="shared" si="2871"/>
        <v>481</v>
      </c>
      <c r="E81" s="436">
        <f t="shared" si="2872"/>
        <v>-54</v>
      </c>
      <c r="F81" s="436">
        <f>VLOOKUP(B81,'[5]测算分配表'!$B:$P,15,0)</f>
        <v>535</v>
      </c>
      <c r="G81" s="435">
        <f>VLOOKUP(B81,'[5]测算分配表'!$B:$H,7,0)</f>
        <v>375.51769111952501</v>
      </c>
      <c r="H81" s="435">
        <f>VLOOKUP(B81,'[5]测算分配表'!$B:$J,9,0)</f>
        <v>0</v>
      </c>
      <c r="I81" s="435">
        <f>VLOOKUP(B81,'[5]测算分配表'!$B:$K,10,0)</f>
        <v>0</v>
      </c>
      <c r="J81" s="436">
        <f>VLOOKUP(B81,'[5]测算分配表'!$B:$L,11,0)</f>
        <v>0</v>
      </c>
      <c r="K81" s="453">
        <f>VLOOKUP(B81,'[5]测算分配表'!$B:$N,13,0)</f>
        <v>159.26136706678801</v>
      </c>
      <c r="L81" s="436"/>
      <c r="M81" s="436"/>
      <c r="N81" s="436"/>
      <c r="O81" s="436"/>
      <c r="P81" s="436"/>
      <c r="Q81" s="436"/>
      <c r="R81" s="436"/>
      <c r="S81" s="436"/>
      <c r="T81" s="455"/>
      <c r="U81" s="5" t="str">
        <f>VLOOKUP(B:B,'[4]合计'!$B:$C,2,0)</f>
        <v>贫困</v>
      </c>
      <c r="V81" s="5" t="str">
        <f>VLOOKUP(B:B,'[4]合计'!$B:$L,11,FALSE)</f>
        <v>省级</v>
      </c>
    </row>
    <row r="82" s="5" customFormat="1" ht="18" customHeight="1">
      <c r="A82" s="85">
        <v>61</v>
      </c>
      <c r="B82" s="86" t="s">
        <v>144</v>
      </c>
      <c r="C82" s="436">
        <f t="shared" si="2870"/>
        <v>606</v>
      </c>
      <c r="D82" s="436">
        <f t="shared" si="2871"/>
        <v>606</v>
      </c>
      <c r="E82" s="436">
        <f t="shared" si="2872"/>
        <v>-67</v>
      </c>
      <c r="F82" s="436">
        <f>VLOOKUP(B82,'[5]测算分配表'!$B:$P,15,0)</f>
        <v>673</v>
      </c>
      <c r="G82" s="435">
        <f>VLOOKUP(B82,'[5]测算分配表'!$B:$H,7,0)</f>
        <v>673.49451363468199</v>
      </c>
      <c r="H82" s="435">
        <f>VLOOKUP(B82,'[5]测算分配表'!$B:$J,9,0)</f>
        <v>0</v>
      </c>
      <c r="I82" s="435">
        <f>VLOOKUP(B82,'[5]测算分配表'!$B:$K,10,0)</f>
        <v>0</v>
      </c>
      <c r="J82" s="436">
        <f>VLOOKUP(B82,'[5]测算分配表'!$B:$L,11,0)</f>
        <v>0</v>
      </c>
      <c r="K82" s="453">
        <f>VLOOKUP(B82,'[5]测算分配表'!$B:$N,13,0)</f>
        <v>0</v>
      </c>
      <c r="L82" s="436"/>
      <c r="M82" s="436"/>
      <c r="N82" s="436"/>
      <c r="O82" s="436"/>
      <c r="P82" s="436"/>
      <c r="Q82" s="436"/>
      <c r="R82" s="436"/>
      <c r="S82" s="436"/>
      <c r="T82" s="455"/>
      <c r="U82" s="5" t="str">
        <f>VLOOKUP(B:B,'[4]合计'!$B:$C,2,0)</f>
        <v>深度贫困</v>
      </c>
      <c r="V82" s="5" t="str">
        <f>VLOOKUP(B:B,'[4]合计'!$B:$L,11,FALSE)</f>
        <v>国家级</v>
      </c>
    </row>
    <row r="83" ht="18" customHeight="1">
      <c r="A83" s="85">
        <v>62</v>
      </c>
      <c r="B83" s="86" t="s">
        <v>145</v>
      </c>
      <c r="C83" s="436">
        <f t="shared" si="2870"/>
        <v>169</v>
      </c>
      <c r="D83" s="436">
        <f t="shared" si="2871"/>
        <v>169</v>
      </c>
      <c r="E83" s="436">
        <f t="shared" si="2872"/>
        <v>-19</v>
      </c>
      <c r="F83" s="436">
        <f>VLOOKUP(B83,'[5]测算分配表'!$B:$P,15,0)</f>
        <v>188</v>
      </c>
      <c r="G83" s="435">
        <f>VLOOKUP(B83,'[5]测算分配表'!$B:$H,7,0)</f>
        <v>288.29937558896398</v>
      </c>
      <c r="H83" s="435">
        <f>VLOOKUP(B83,'[5]测算分配表'!$B:$J,9,0)</f>
        <v>0</v>
      </c>
      <c r="I83" s="435">
        <f>VLOOKUP(B83,'[5]测算分配表'!$B:$K,10,0)</f>
        <v>0</v>
      </c>
      <c r="J83" s="436">
        <f>VLOOKUP(B83,'[5]测算分配表'!$B:$L,11,0)</f>
        <v>-100</v>
      </c>
      <c r="K83" s="453">
        <f>VLOOKUP(B83,'[5]测算分配表'!$B:$N,13,0)</f>
        <v>0</v>
      </c>
      <c r="L83" s="436"/>
      <c r="M83" s="436"/>
      <c r="N83" s="436"/>
      <c r="O83" s="436"/>
      <c r="P83" s="436"/>
      <c r="Q83" s="436"/>
      <c r="R83" s="436"/>
      <c r="S83" s="436"/>
      <c r="T83" s="455"/>
      <c r="U83" s="5" t="str">
        <f>VLOOKUP(B:B,'[4]合计'!$B:$C,2,0)</f>
        <v>贫困</v>
      </c>
      <c r="V83" s="5" t="str">
        <f>VLOOKUP(B:B,'[4]合计'!$B:$L,11,FALSE)</f>
        <v>省级</v>
      </c>
    </row>
    <row r="84" s="10" customFormat="1" ht="18" customHeight="1">
      <c r="A84" s="427"/>
      <c r="B84" s="431" t="s">
        <v>147</v>
      </c>
      <c r="C84" s="432">
        <f t="shared" ref="C84:I84" si="2873">SUM(C85:C95)</f>
        <v>3775</v>
      </c>
      <c r="D84" s="432">
        <f t="shared" si="2873"/>
        <v>3775</v>
      </c>
      <c r="E84" s="432">
        <f t="shared" si="2873"/>
        <v>0</v>
      </c>
      <c r="F84" s="432">
        <f t="shared" si="2873"/>
        <v>3775</v>
      </c>
      <c r="G84" s="433">
        <f t="shared" si="2873"/>
        <v>3124.1081095179302</v>
      </c>
      <c r="H84" s="433">
        <f t="shared" si="2873"/>
        <v>0</v>
      </c>
      <c r="I84" s="433">
        <f t="shared" si="2873"/>
        <v>200</v>
      </c>
      <c r="J84" s="432">
        <f t="shared" ref="J84:S84" si="2874">SUM(J85:J95)</f>
        <v>-50</v>
      </c>
      <c r="K84" s="450">
        <f t="shared" si="2874"/>
        <v>0</v>
      </c>
      <c r="L84" s="432">
        <f t="shared" si="2874"/>
        <v>0</v>
      </c>
      <c r="M84" s="432">
        <f t="shared" si="2874"/>
        <v>0</v>
      </c>
      <c r="N84" s="432">
        <f t="shared" si="2874"/>
        <v>0</v>
      </c>
      <c r="O84" s="432">
        <f t="shared" si="2874"/>
        <v>0</v>
      </c>
      <c r="P84" s="432">
        <f t="shared" si="2874"/>
        <v>0</v>
      </c>
      <c r="Q84" s="432">
        <f t="shared" si="2874"/>
        <v>0</v>
      </c>
      <c r="R84" s="432">
        <f t="shared" si="2874"/>
        <v>0</v>
      </c>
      <c r="S84" s="432">
        <f t="shared" si="2874"/>
        <v>0</v>
      </c>
      <c r="T84" s="14"/>
      <c r="U84" s="5">
        <f>VLOOKUP(B:B,'[4]合计'!$B:$C,2,0)</f>
        <v>0</v>
      </c>
      <c r="V84" s="5">
        <f>VLOOKUP(B:B,'[4]合计'!$B:$L,11,FALSE)</f>
        <v>0</v>
      </c>
    </row>
    <row r="85" s="5" customFormat="1" ht="18" customHeight="1">
      <c r="A85" s="434">
        <v>1111</v>
      </c>
      <c r="B85" s="452" t="s">
        <v>148</v>
      </c>
      <c r="C85" s="436">
        <f t="shared" ref="C85:C95" si="2875">D85+M85+S85</f>
        <v>0</v>
      </c>
      <c r="D85" s="436">
        <f t="shared" ref="D85:D95" si="2876">E85+F85</f>
        <v>0</v>
      </c>
      <c r="E85" s="436"/>
      <c r="F85" s="436">
        <f>VLOOKUP(B85,[5]测算分配表!$B:$P,15,0)</f>
        <v>0</v>
      </c>
      <c r="G85" s="435">
        <f>VLOOKUP(B85,[5]测算分配表!$B:$H,7,0)</f>
        <v>0</v>
      </c>
      <c r="H85" s="435">
        <f>VLOOKUP(B85,[5]测算分配表!$B:$J,9,0)</f>
        <v>0</v>
      </c>
      <c r="I85" s="435">
        <f>VLOOKUP(B85,[5]测算分配表!$B:$K,10,0)</f>
        <v>0</v>
      </c>
      <c r="J85" s="436">
        <f>VLOOKUP(B85,[5]测算分配表!$B:$L,11,0)</f>
        <v>0</v>
      </c>
      <c r="K85" s="453">
        <f>VLOOKUP(B85,[5]测算分配表!$B:$N,13,0)</f>
        <v>0</v>
      </c>
      <c r="L85" s="436"/>
      <c r="M85" s="436"/>
      <c r="N85" s="436"/>
      <c r="O85" s="436"/>
      <c r="P85" s="436"/>
      <c r="Q85" s="436"/>
      <c r="R85" s="436"/>
      <c r="S85" s="436"/>
      <c r="T85" s="455"/>
      <c r="U85" s="5">
        <f>VLOOKUP(B:B,'[4]合计'!$B:$C,2,0)</f>
        <v>0</v>
      </c>
      <c r="V85" s="5">
        <f>VLOOKUP(B:B,'[4]合计'!$B:$L,11,FALSE)</f>
        <v>0</v>
      </c>
    </row>
    <row r="86" ht="18" customHeight="1">
      <c r="A86" s="85">
        <v>63</v>
      </c>
      <c r="B86" s="86" t="s">
        <v>149</v>
      </c>
      <c r="C86" s="436">
        <f t="shared" si="2875"/>
        <v>183</v>
      </c>
      <c r="D86" s="436">
        <f t="shared" si="2876"/>
        <v>183</v>
      </c>
      <c r="E86" s="436"/>
      <c r="F86" s="436">
        <f>VLOOKUP(B86,'[5]测算分配表'!$B:$P,15,0)</f>
        <v>183</v>
      </c>
      <c r="G86" s="435">
        <f>VLOOKUP(B86,'[5]测算分配表'!$B:$H,7,0)</f>
        <v>183.150526770299</v>
      </c>
      <c r="H86" s="435">
        <f>VLOOKUP(B86,'[5]测算分配表'!$B:$J,9,0)</f>
        <v>0</v>
      </c>
      <c r="I86" s="435">
        <f>VLOOKUP(B86,'[5]测算分配表'!$B:$K,10,0)</f>
        <v>0</v>
      </c>
      <c r="J86" s="436">
        <f>VLOOKUP(B86,'[5]测算分配表'!$B:$L,11,0)</f>
        <v>0</v>
      </c>
      <c r="K86" s="453">
        <f>VLOOKUP(B86,'[5]测算分配表'!$B:$N,13,0)</f>
        <v>0</v>
      </c>
      <c r="L86" s="436"/>
      <c r="M86" s="436"/>
      <c r="N86" s="436"/>
      <c r="O86" s="436"/>
      <c r="P86" s="436"/>
      <c r="Q86" s="436"/>
      <c r="R86" s="436"/>
      <c r="S86" s="436"/>
      <c r="T86" s="455"/>
      <c r="U86" s="5" t="str">
        <f>VLOOKUP(B:B,'[4]合计'!$B:$C,2,0)</f>
        <v>非贫困县</v>
      </c>
      <c r="V86" s="5">
        <f>VLOOKUP(B:B,'[4]合计'!$B:$L,11,FALSE)</f>
        <v>0</v>
      </c>
    </row>
    <row r="87" ht="18" customHeight="1">
      <c r="A87" s="85">
        <v>64</v>
      </c>
      <c r="B87" s="86" t="s">
        <v>150</v>
      </c>
      <c r="C87" s="436">
        <f t="shared" si="2875"/>
        <v>181</v>
      </c>
      <c r="D87" s="436">
        <f t="shared" si="2876"/>
        <v>181</v>
      </c>
      <c r="E87" s="436"/>
      <c r="F87" s="436">
        <f>VLOOKUP(B87,'[5]测算分配表'!$B:$P,15,0)</f>
        <v>181</v>
      </c>
      <c r="G87" s="435">
        <f>VLOOKUP(B87,'[5]测算分配表'!$B:$H,7,0)</f>
        <v>180.634415754495</v>
      </c>
      <c r="H87" s="435">
        <f>VLOOKUP(B87,'[5]测算分配表'!$B:$J,9,0)</f>
        <v>0</v>
      </c>
      <c r="I87" s="435">
        <f>VLOOKUP(B87,'[5]测算分配表'!$B:$K,10,0)</f>
        <v>0</v>
      </c>
      <c r="J87" s="436">
        <f>VLOOKUP(B87,'[5]测算分配表'!$B:$L,11,0)</f>
        <v>0</v>
      </c>
      <c r="K87" s="453">
        <f>VLOOKUP(B87,'[5]测算分配表'!$B:$N,13,0)</f>
        <v>0</v>
      </c>
      <c r="L87" s="436"/>
      <c r="M87" s="436"/>
      <c r="N87" s="436"/>
      <c r="O87" s="436"/>
      <c r="P87" s="436"/>
      <c r="Q87" s="436"/>
      <c r="R87" s="436"/>
      <c r="S87" s="436"/>
      <c r="T87" s="455"/>
      <c r="U87" s="5" t="str">
        <f>VLOOKUP(B:B,'[4]合计'!$B:$C,2,0)</f>
        <v>贫困</v>
      </c>
      <c r="V87" s="5">
        <f>VLOOKUP(B:B,'[4]合计'!$B:$L,11,FALSE)</f>
        <v>0</v>
      </c>
    </row>
    <row r="88" ht="18" customHeight="1">
      <c r="A88" s="85">
        <v>65</v>
      </c>
      <c r="B88" s="86" t="s">
        <v>151</v>
      </c>
      <c r="C88" s="436">
        <f t="shared" si="2875"/>
        <v>388</v>
      </c>
      <c r="D88" s="436">
        <f t="shared" si="2876"/>
        <v>388</v>
      </c>
      <c r="E88" s="436"/>
      <c r="F88" s="436">
        <f>VLOOKUP(B88,'[5]测算分配表'!$B:$P,15,0)</f>
        <v>388</v>
      </c>
      <c r="G88" s="435">
        <f>VLOOKUP(B88,'[5]测算分配表'!$B:$H,7,0)</f>
        <v>388.09381013595498</v>
      </c>
      <c r="H88" s="435">
        <f>VLOOKUP(B88,'[5]测算分配表'!$B:$J,9,0)</f>
        <v>0</v>
      </c>
      <c r="I88" s="435">
        <f>VLOOKUP(B88,'[5]测算分配表'!$B:$K,10,0)</f>
        <v>0</v>
      </c>
      <c r="J88" s="436">
        <f>VLOOKUP(B88,'[5]测算分配表'!$B:$L,11,0)</f>
        <v>0</v>
      </c>
      <c r="K88" s="453">
        <f>VLOOKUP(B88,'[5]测算分配表'!$B:$N,13,0)</f>
        <v>0</v>
      </c>
      <c r="L88" s="436"/>
      <c r="M88" s="436"/>
      <c r="N88" s="436"/>
      <c r="O88" s="436"/>
      <c r="P88" s="436"/>
      <c r="Q88" s="436"/>
      <c r="R88" s="436"/>
      <c r="S88" s="436"/>
      <c r="T88" s="455"/>
      <c r="U88" s="5" t="str">
        <f>VLOOKUP(B:B,'[4]合计'!$B:$C,2,0)</f>
        <v>贫困</v>
      </c>
      <c r="V88" s="5" t="str">
        <f>VLOOKUP(B:B,'[4]合计'!$B:$L,11,FALSE)</f>
        <v>省级</v>
      </c>
    </row>
    <row r="89" ht="18" customHeight="1">
      <c r="A89" s="85">
        <v>66</v>
      </c>
      <c r="B89" s="86" t="s">
        <v>153</v>
      </c>
      <c r="C89" s="436">
        <f t="shared" si="2875"/>
        <v>255</v>
      </c>
      <c r="D89" s="436">
        <f t="shared" si="2876"/>
        <v>255</v>
      </c>
      <c r="E89" s="436"/>
      <c r="F89" s="436">
        <f>VLOOKUP(B89,'[5]测算分配表'!$B:$P,15,0)</f>
        <v>255</v>
      </c>
      <c r="G89" s="435">
        <f>VLOOKUP(B89,'[5]测算分配表'!$B:$H,7,0)</f>
        <v>255.20704198699499</v>
      </c>
      <c r="H89" s="435">
        <f>VLOOKUP(B89,'[5]测算分配表'!$B:$J,9,0)</f>
        <v>0</v>
      </c>
      <c r="I89" s="435">
        <f>VLOOKUP(B89,'[5]测算分配表'!$B:$K,10,0)</f>
        <v>0</v>
      </c>
      <c r="J89" s="436">
        <f>VLOOKUP(B89,'[5]测算分配表'!$B:$L,11,0)</f>
        <v>0</v>
      </c>
      <c r="K89" s="453">
        <f>VLOOKUP(B89,'[5]测算分配表'!$B:$N,13,0)</f>
        <v>0</v>
      </c>
      <c r="L89" s="436"/>
      <c r="M89" s="436"/>
      <c r="N89" s="436"/>
      <c r="O89" s="436"/>
      <c r="P89" s="436"/>
      <c r="Q89" s="436"/>
      <c r="R89" s="436"/>
      <c r="S89" s="436"/>
      <c r="T89" s="455"/>
      <c r="U89" s="5" t="str">
        <f>VLOOKUP(B:B,'[4]合计'!$B:$C,2,0)</f>
        <v>贫困</v>
      </c>
      <c r="V89" s="5">
        <f>VLOOKUP(B:B,'[4]合计'!$B:$L,11,FALSE)</f>
        <v>0</v>
      </c>
    </row>
    <row r="90" ht="18" customHeight="1">
      <c r="A90" s="85">
        <v>67</v>
      </c>
      <c r="B90" s="86" t="s">
        <v>154</v>
      </c>
      <c r="C90" s="436">
        <f t="shared" si="2875"/>
        <v>222</v>
      </c>
      <c r="D90" s="436">
        <f t="shared" si="2876"/>
        <v>222</v>
      </c>
      <c r="E90" s="436"/>
      <c r="F90" s="436">
        <f>VLOOKUP(B90,'[5]测算分配表'!$B:$P,15,0)</f>
        <v>222</v>
      </c>
      <c r="G90" s="435">
        <f>VLOOKUP(B90,'[5]测算分配表'!$B:$H,7,0)</f>
        <v>221.95581026919999</v>
      </c>
      <c r="H90" s="435">
        <f>VLOOKUP(B90,'[5]测算分配表'!$B:$J,9,0)</f>
        <v>0</v>
      </c>
      <c r="I90" s="435">
        <f>VLOOKUP(B90,'[5]测算分配表'!$B:$K,10,0)</f>
        <v>0</v>
      </c>
      <c r="J90" s="436">
        <f>VLOOKUP(B90,'[5]测算分配表'!$B:$L,11,0)</f>
        <v>0</v>
      </c>
      <c r="K90" s="453">
        <f>VLOOKUP(B90,'[5]测算分配表'!$B:$N,13,0)</f>
        <v>0</v>
      </c>
      <c r="L90" s="436"/>
      <c r="M90" s="436"/>
      <c r="N90" s="436"/>
      <c r="O90" s="436"/>
      <c r="P90" s="436"/>
      <c r="Q90" s="436"/>
      <c r="R90" s="436"/>
      <c r="S90" s="436"/>
      <c r="T90" s="455"/>
      <c r="U90" s="5" t="str">
        <f>VLOOKUP(B:B,'[4]合计'!$B:$C,2,0)</f>
        <v>贫困</v>
      </c>
      <c r="V90" s="5">
        <f>VLOOKUP(B:B,'[4]合计'!$B:$L,11,FALSE)</f>
        <v>0</v>
      </c>
    </row>
    <row r="91" ht="18" customHeight="1">
      <c r="A91" s="85">
        <v>68</v>
      </c>
      <c r="B91" s="86" t="s">
        <v>152</v>
      </c>
      <c r="C91" s="436">
        <f t="shared" si="2875"/>
        <v>281</v>
      </c>
      <c r="D91" s="436">
        <f t="shared" si="2876"/>
        <v>281</v>
      </c>
      <c r="E91" s="436"/>
      <c r="F91" s="436">
        <f>VLOOKUP(B91,'[5]测算分配表'!$B:$P,15,0)</f>
        <v>281</v>
      </c>
      <c r="G91" s="435">
        <f>VLOOKUP(B91,'[5]测算分配表'!$B:$H,7,0)</f>
        <v>330.60550847488997</v>
      </c>
      <c r="H91" s="435">
        <f>VLOOKUP(B91,'[5]测算分配表'!$B:$J,9,0)</f>
        <v>0</v>
      </c>
      <c r="I91" s="435">
        <f>VLOOKUP(B91,'[5]测算分配表'!$B:$K,10,0)</f>
        <v>0</v>
      </c>
      <c r="J91" s="436">
        <f>VLOOKUP(B91,'[5]测算分配表'!$B:$L,11,0)</f>
        <v>-50</v>
      </c>
      <c r="K91" s="453">
        <f>VLOOKUP(B91,'[5]测算分配表'!$B:$N,13,0)</f>
        <v>0</v>
      </c>
      <c r="L91" s="436"/>
      <c r="M91" s="436"/>
      <c r="N91" s="436"/>
      <c r="O91" s="436"/>
      <c r="P91" s="436"/>
      <c r="Q91" s="436"/>
      <c r="R91" s="436"/>
      <c r="S91" s="436"/>
      <c r="T91" s="455"/>
      <c r="U91" s="5" t="str">
        <f>VLOOKUP(B:B,'[4]合计'!$B:$C,2,0)</f>
        <v>贫困</v>
      </c>
      <c r="V91" s="5" t="str">
        <f>VLOOKUP(B:B,'[4]合计'!$B:$L,11,FALSE)</f>
        <v>省级</v>
      </c>
    </row>
    <row r="92" ht="18" customHeight="1">
      <c r="A92" s="85">
        <v>69</v>
      </c>
      <c r="B92" s="86" t="s">
        <v>155</v>
      </c>
      <c r="C92" s="436">
        <f t="shared" si="2875"/>
        <v>365</v>
      </c>
      <c r="D92" s="436">
        <f t="shared" si="2876"/>
        <v>365</v>
      </c>
      <c r="E92" s="436"/>
      <c r="F92" s="436">
        <f>VLOOKUP(B92,'[5]测算分配表'!$B:$P,15,0)</f>
        <v>365</v>
      </c>
      <c r="G92" s="435">
        <f>VLOOKUP(B92,'[5]测算分配表'!$B:$H,7,0)</f>
        <v>264.91397674988502</v>
      </c>
      <c r="H92" s="435">
        <f>VLOOKUP(B92,'[5]测算分配表'!$B:$J,9,0)</f>
        <v>0</v>
      </c>
      <c r="I92" s="435">
        <f>VLOOKUP(B92,'[5]测算分配表'!$B:$K,10,0)</f>
        <v>100</v>
      </c>
      <c r="J92" s="436">
        <f>VLOOKUP(B92,'[5]测算分配表'!$B:$L,11,0)</f>
        <v>0</v>
      </c>
      <c r="K92" s="453">
        <f>VLOOKUP(B92,'[5]测算分配表'!$B:$N,13,0)</f>
        <v>0</v>
      </c>
      <c r="L92" s="436"/>
      <c r="M92" s="436"/>
      <c r="N92" s="436"/>
      <c r="O92" s="436"/>
      <c r="P92" s="436"/>
      <c r="Q92" s="436"/>
      <c r="R92" s="436"/>
      <c r="S92" s="436"/>
      <c r="T92" s="455"/>
      <c r="U92" s="5" t="str">
        <f>VLOOKUP(B:B,'[4]合计'!$B:$C,2,0)</f>
        <v>深度贫困</v>
      </c>
      <c r="V92" s="5" t="str">
        <f>VLOOKUP(B:B,'[4]合计'!$B:$L,11,FALSE)</f>
        <v>省级</v>
      </c>
    </row>
    <row r="93" ht="18" customHeight="1">
      <c r="A93" s="85">
        <v>70</v>
      </c>
      <c r="B93" s="86" t="s">
        <v>157</v>
      </c>
      <c r="C93" s="436">
        <f t="shared" si="2875"/>
        <v>815</v>
      </c>
      <c r="D93" s="436">
        <f t="shared" si="2876"/>
        <v>815</v>
      </c>
      <c r="E93" s="436"/>
      <c r="F93" s="436">
        <f>VLOOKUP(B93,'[5]测算分配表'!$B:$P,15,0)</f>
        <v>815</v>
      </c>
      <c r="G93" s="435">
        <f>VLOOKUP(B93,'[5]测算分配表'!$B:$H,7,0)</f>
        <v>814.60541279744598</v>
      </c>
      <c r="H93" s="435">
        <f>VLOOKUP(B93,'[5]测算分配表'!$B:$J,9,0)</f>
        <v>0</v>
      </c>
      <c r="I93" s="435">
        <f>VLOOKUP(B93,'[5]测算分配表'!$B:$K,10,0)</f>
        <v>0</v>
      </c>
      <c r="J93" s="436">
        <f>VLOOKUP(B93,'[5]测算分配表'!$B:$L,11,0)</f>
        <v>0</v>
      </c>
      <c r="K93" s="453">
        <f>VLOOKUP(B93,'[5]测算分配表'!$B:$N,13,0)</f>
        <v>0</v>
      </c>
      <c r="L93" s="436"/>
      <c r="M93" s="436"/>
      <c r="N93" s="436"/>
      <c r="O93" s="436"/>
      <c r="P93" s="436"/>
      <c r="Q93" s="436"/>
      <c r="R93" s="436"/>
      <c r="S93" s="436"/>
      <c r="T93" s="455"/>
      <c r="U93" s="5" t="str">
        <f>VLOOKUP(B:B,'[4]合计'!$B:$C,2,0)</f>
        <v>深度贫困</v>
      </c>
      <c r="V93" s="5" t="str">
        <f>VLOOKUP(B:B,'[4]合计'!$B:$L,11,FALSE)</f>
        <v>国家级</v>
      </c>
    </row>
    <row r="94" ht="18" customHeight="1">
      <c r="A94" s="85">
        <v>71</v>
      </c>
      <c r="B94" s="86" t="s">
        <v>156</v>
      </c>
      <c r="C94" s="436">
        <f t="shared" si="2875"/>
        <v>214</v>
      </c>
      <c r="D94" s="436">
        <f t="shared" si="2876"/>
        <v>214</v>
      </c>
      <c r="E94" s="436"/>
      <c r="F94" s="436">
        <f>VLOOKUP(B94,'[5]测算分配表'!$B:$P,15,0)</f>
        <v>214</v>
      </c>
      <c r="G94" s="435">
        <f>VLOOKUP(B94,'[5]测算分配表'!$B:$H,7,0)</f>
        <v>214.317053758913</v>
      </c>
      <c r="H94" s="435">
        <f>VLOOKUP(B94,'[5]测算分配表'!$B:$J,9,0)</f>
        <v>0</v>
      </c>
      <c r="I94" s="435">
        <f>VLOOKUP(B94,'[5]测算分配表'!$B:$K,10,0)</f>
        <v>0</v>
      </c>
      <c r="J94" s="436">
        <f>VLOOKUP(B94,'[5]测算分配表'!$B:$L,11,0)</f>
        <v>0</v>
      </c>
      <c r="K94" s="453">
        <f>VLOOKUP(B94,'[5]测算分配表'!$B:$N,13,0)</f>
        <v>0</v>
      </c>
      <c r="L94" s="436"/>
      <c r="M94" s="436"/>
      <c r="N94" s="436"/>
      <c r="O94" s="436"/>
      <c r="P94" s="436"/>
      <c r="Q94" s="436"/>
      <c r="R94" s="436"/>
      <c r="S94" s="436"/>
      <c r="T94" s="455"/>
      <c r="U94" s="5" t="str">
        <f>VLOOKUP(B:B,'[4]合计'!$B:$C,2,0)</f>
        <v>贫困</v>
      </c>
      <c r="V94" s="5" t="str">
        <f>VLOOKUP(B:B,'[4]合计'!$B:$L,11,FALSE)</f>
        <v>省级</v>
      </c>
    </row>
    <row r="95" ht="22" customHeight="1">
      <c r="A95" s="85">
        <v>72</v>
      </c>
      <c r="B95" s="86" t="s">
        <v>158</v>
      </c>
      <c r="C95" s="436">
        <f t="shared" si="2875"/>
        <v>871</v>
      </c>
      <c r="D95" s="436">
        <f t="shared" si="2876"/>
        <v>871</v>
      </c>
      <c r="E95" s="436"/>
      <c r="F95" s="436">
        <f>VLOOKUP(B95,'[5]测算分配表'!$B:$P,15,0)</f>
        <v>871</v>
      </c>
      <c r="G95" s="435">
        <f>VLOOKUP(B95,'[5]测算分配表'!$B:$H,7,0)</f>
        <v>270.62455281985001</v>
      </c>
      <c r="H95" s="435">
        <f>VLOOKUP(B95,'[5]测算分配表'!$B:$J,9,0)</f>
        <v>0</v>
      </c>
      <c r="I95" s="435">
        <f>VLOOKUP(B95,'[5]测算分配表'!$B:$K,10,0)</f>
        <v>100</v>
      </c>
      <c r="J95" s="436">
        <f>VLOOKUP(B95,'[5]测算分配表'!$B:$L,11,0)</f>
        <v>0</v>
      </c>
      <c r="K95" s="453">
        <f>VLOOKUP(B95,'[5]测算分配表'!$B:$N,13,0)</f>
        <v>0</v>
      </c>
      <c r="L95" s="436"/>
      <c r="M95" s="436"/>
      <c r="N95" s="436"/>
      <c r="O95" s="436"/>
      <c r="P95" s="436"/>
      <c r="Q95" s="436"/>
      <c r="R95" s="436"/>
      <c r="S95" s="436"/>
      <c r="T95" s="455"/>
      <c r="U95" s="5" t="str">
        <f>VLOOKUP(B:B,'[4]合计'!$B:$C,2,0)</f>
        <v>贫困</v>
      </c>
      <c r="V95" s="5" t="str">
        <f>VLOOKUP(B:B,'[4]合计'!$B:$L,11,FALSE)</f>
        <v>省级</v>
      </c>
    </row>
    <row r="96" s="10" customFormat="1" ht="27" customHeight="1">
      <c r="A96" s="85"/>
      <c r="B96" s="431" t="s">
        <v>159</v>
      </c>
      <c r="C96" s="432">
        <f t="shared" ref="C96:I96" si="2877">SUM(C97:C100)</f>
        <v>149</v>
      </c>
      <c r="D96" s="432">
        <f t="shared" si="2877"/>
        <v>149</v>
      </c>
      <c r="E96" s="432">
        <f t="shared" si="2877"/>
        <v>0</v>
      </c>
      <c r="F96" s="432">
        <f t="shared" si="2877"/>
        <v>149</v>
      </c>
      <c r="G96" s="433">
        <f t="shared" si="2877"/>
        <v>608.15970424194904</v>
      </c>
      <c r="H96" s="433">
        <f t="shared" si="2877"/>
        <v>0</v>
      </c>
      <c r="I96" s="433">
        <f t="shared" si="2877"/>
        <v>100</v>
      </c>
      <c r="J96" s="432">
        <f t="shared" ref="J96:S96" si="2878">SUM(J97:J100)</f>
        <v>-560</v>
      </c>
      <c r="K96" s="450">
        <f t="shared" si="2878"/>
        <v>0</v>
      </c>
      <c r="L96" s="432">
        <f t="shared" si="2878"/>
        <v>0</v>
      </c>
      <c r="M96" s="432">
        <f t="shared" si="2878"/>
        <v>0</v>
      </c>
      <c r="N96" s="432">
        <f t="shared" si="2878"/>
        <v>0</v>
      </c>
      <c r="O96" s="432">
        <f t="shared" si="2878"/>
        <v>0</v>
      </c>
      <c r="P96" s="432">
        <f t="shared" si="2878"/>
        <v>0</v>
      </c>
      <c r="Q96" s="432">
        <f t="shared" si="2878"/>
        <v>0</v>
      </c>
      <c r="R96" s="432">
        <f t="shared" si="2878"/>
        <v>0</v>
      </c>
      <c r="S96" s="432">
        <f t="shared" si="2878"/>
        <v>0</v>
      </c>
      <c r="T96" s="14"/>
      <c r="U96" s="5">
        <f>VLOOKUP(B:B,'[4]合计'!$B:$C,2,0)</f>
        <v>0</v>
      </c>
      <c r="V96" s="5">
        <f>VLOOKUP(B:B,'[4]合计'!$B:$L,11,FALSE)</f>
        <v>0</v>
      </c>
    </row>
    <row r="97" s="10" customFormat="1" ht="27" customHeight="1">
      <c r="A97" s="434">
        <v>1111</v>
      </c>
      <c r="B97" s="86" t="s">
        <v>160</v>
      </c>
      <c r="C97" s="436">
        <f t="shared" ref="C97:C100" si="2879">D97+M97+S97</f>
        <v>0</v>
      </c>
      <c r="D97" s="436">
        <f t="shared" ref="D97:D100" si="2880">E97+F97</f>
        <v>0</v>
      </c>
      <c r="E97" s="436"/>
      <c r="F97" s="436">
        <f>VLOOKUP(B97,[5]测算分配表!$B:$P,15,0)</f>
        <v>0</v>
      </c>
      <c r="G97" s="435">
        <f>VLOOKUP(B97,[5]测算分配表!$B:$H,7,0)</f>
        <v>0</v>
      </c>
      <c r="H97" s="435">
        <f>VLOOKUP(B97,[5]测算分配表!$B:$J,9,0)</f>
        <v>0</v>
      </c>
      <c r="I97" s="435">
        <f>VLOOKUP(B97,[5]测算分配表!$B:$K,10,0)</f>
        <v>0</v>
      </c>
      <c r="J97" s="436">
        <f>VLOOKUP(B97,[5]测算分配表!$B:$L,11,0)</f>
        <v>0</v>
      </c>
      <c r="K97" s="453">
        <f>VLOOKUP(B97,[5]测算分配表!$B:$N,13,0)</f>
        <v>0</v>
      </c>
      <c r="L97" s="436"/>
      <c r="M97" s="436"/>
      <c r="N97" s="436"/>
      <c r="O97" s="436"/>
      <c r="P97" s="436"/>
      <c r="Q97" s="436"/>
      <c r="R97" s="436"/>
      <c r="S97" s="436"/>
      <c r="T97" s="14"/>
      <c r="U97" s="5">
        <f>VLOOKUP(B:B,'[4]合计'!$B:$C,2,0)</f>
        <v>0</v>
      </c>
      <c r="V97" s="5">
        <f>VLOOKUP(B:B,'[4]合计'!$B:$L,11,FALSE)</f>
        <v>0</v>
      </c>
    </row>
    <row r="98" ht="18" customHeight="1">
      <c r="A98" s="85">
        <v>73</v>
      </c>
      <c r="B98" s="86" t="s">
        <v>161</v>
      </c>
      <c r="C98" s="436">
        <f t="shared" si="2879"/>
        <v>2</v>
      </c>
      <c r="D98" s="436">
        <f t="shared" si="2880"/>
        <v>2</v>
      </c>
      <c r="E98" s="436"/>
      <c r="F98" s="436">
        <f>VLOOKUP(B98,'[5]测算分配表'!$B:$P,15,0)</f>
        <v>2</v>
      </c>
      <c r="G98" s="435">
        <f>VLOOKUP(B98,'[5]测算分配表'!$B:$H,7,0)</f>
        <v>161.684294046221</v>
      </c>
      <c r="H98" s="435">
        <f>VLOOKUP(B98,'[5]测算分配表'!$B:$J,9,0)</f>
        <v>0</v>
      </c>
      <c r="I98" s="435">
        <f>VLOOKUP(B98,'[5]测算分配表'!$B:$K,10,0)</f>
        <v>0</v>
      </c>
      <c r="J98" s="436">
        <f>VLOOKUP(B98,'[5]测算分配表'!$B:$L,11,0)</f>
        <v>-160</v>
      </c>
      <c r="K98" s="453">
        <f>VLOOKUP(B98,'[5]测算分配表'!$B:$N,13,0)</f>
        <v>0</v>
      </c>
      <c r="L98" s="436"/>
      <c r="M98" s="436"/>
      <c r="N98" s="436"/>
      <c r="O98" s="436"/>
      <c r="P98" s="436"/>
      <c r="Q98" s="436"/>
      <c r="R98" s="436"/>
      <c r="S98" s="436"/>
      <c r="T98" s="455"/>
      <c r="U98" s="5" t="str">
        <f>VLOOKUP(B:B,'[4]合计'!$B:$C,2,0)</f>
        <v>非贫困县</v>
      </c>
      <c r="V98" s="5">
        <f>VLOOKUP(B:B,'[4]合计'!$B:$L,11,FALSE)</f>
        <v>0</v>
      </c>
    </row>
    <row r="99" ht="18" customHeight="1">
      <c r="A99" s="85">
        <v>74</v>
      </c>
      <c r="B99" s="86" t="s">
        <v>162</v>
      </c>
      <c r="C99" s="436">
        <f t="shared" si="2879"/>
        <v>97</v>
      </c>
      <c r="D99" s="436">
        <f t="shared" si="2880"/>
        <v>97</v>
      </c>
      <c r="E99" s="436"/>
      <c r="F99" s="436">
        <f>VLOOKUP(B99,'[5]测算分配表'!$B:$P,15,0)</f>
        <v>97</v>
      </c>
      <c r="G99" s="435">
        <f>VLOOKUP(B99,'[5]测算分配表'!$B:$H,7,0)</f>
        <v>246.73408511660799</v>
      </c>
      <c r="H99" s="435">
        <f>VLOOKUP(B99,'[5]测算分配表'!$B:$J,9,0)</f>
        <v>0</v>
      </c>
      <c r="I99" s="435">
        <f>VLOOKUP(B99,'[5]测算分配表'!$B:$K,10,0)</f>
        <v>100</v>
      </c>
      <c r="J99" s="436">
        <f>VLOOKUP(B99,'[5]测算分配表'!$B:$L,11,0)</f>
        <v>-250</v>
      </c>
      <c r="K99" s="453">
        <f>VLOOKUP(B99,'[5]测算分配表'!$B:$N,13,0)</f>
        <v>0</v>
      </c>
      <c r="L99" s="436"/>
      <c r="M99" s="436"/>
      <c r="N99" s="436"/>
      <c r="O99" s="436"/>
      <c r="P99" s="436"/>
      <c r="Q99" s="436"/>
      <c r="R99" s="436"/>
      <c r="S99" s="436"/>
      <c r="T99" s="455"/>
      <c r="U99" s="5" t="str">
        <f>VLOOKUP(B:B,'[4]合计'!$B:$C,2,0)</f>
        <v>贫困</v>
      </c>
      <c r="V99" s="5">
        <f>VLOOKUP(B:B,'[4]合计'!$B:$L,11,FALSE)</f>
        <v>0</v>
      </c>
    </row>
    <row r="100" ht="18" customHeight="1">
      <c r="A100" s="85">
        <v>75</v>
      </c>
      <c r="B100" s="86" t="s">
        <v>163</v>
      </c>
      <c r="C100" s="436">
        <f t="shared" si="2879"/>
        <v>50</v>
      </c>
      <c r="D100" s="436">
        <f t="shared" si="2880"/>
        <v>50</v>
      </c>
      <c r="E100" s="135"/>
      <c r="F100" s="436">
        <f>VLOOKUP(B100,[5]测算分配表!$B:$P,15,0)</f>
        <v>50</v>
      </c>
      <c r="G100" s="435">
        <f>VLOOKUP(B100,[5]测算分配表!$B:$H,7,0)</f>
        <v>199.74132507912</v>
      </c>
      <c r="H100" s="435">
        <f>VLOOKUP(B100,[5]测算分配表!$B:$J,9,0)</f>
        <v>0</v>
      </c>
      <c r="I100" s="435">
        <f>VLOOKUP(B100,[5]测算分配表!$B:$K,10,0)</f>
        <v>0</v>
      </c>
      <c r="J100" s="436">
        <f>VLOOKUP(B100,[5]测算分配表!$B:$L,11,0)</f>
        <v>-150</v>
      </c>
      <c r="K100" s="453">
        <f>VLOOKUP(B100,[5]测算分配表!$B:$N,13,0)</f>
        <v>0</v>
      </c>
      <c r="L100" s="436"/>
      <c r="M100" s="436"/>
      <c r="N100" s="436"/>
      <c r="O100" s="436"/>
      <c r="P100" s="436"/>
      <c r="Q100" s="436"/>
      <c r="R100" s="436"/>
      <c r="S100" s="436"/>
      <c r="T100" s="455"/>
      <c r="U100" s="5" t="str">
        <f>VLOOKUP(B:B,'[4]合计'!$B:$C,2,0)</f>
        <v>贫困</v>
      </c>
      <c r="V100" s="135"/>
    </row>
    <row r="101" s="10" customFormat="1" ht="18" customHeight="1">
      <c r="A101" s="427"/>
      <c r="B101" s="431" t="s">
        <v>164</v>
      </c>
      <c r="C101" s="432">
        <f t="shared" ref="C101:I101" si="2881">SUM(C102:C112)</f>
        <v>2719</v>
      </c>
      <c r="D101" s="432">
        <f t="shared" si="2881"/>
        <v>2719</v>
      </c>
      <c r="E101" s="432">
        <f t="shared" si="2881"/>
        <v>0</v>
      </c>
      <c r="F101" s="432">
        <f t="shared" si="2881"/>
        <v>2719</v>
      </c>
      <c r="G101" s="433">
        <f t="shared" si="2881"/>
        <v>2563.5970783257499</v>
      </c>
      <c r="H101" s="433">
        <f t="shared" si="2881"/>
        <v>0</v>
      </c>
      <c r="I101" s="433">
        <f t="shared" si="2881"/>
        <v>0</v>
      </c>
      <c r="J101" s="432">
        <f t="shared" ref="J101:S101" si="2882">SUM(J102:J112)</f>
        <v>-150</v>
      </c>
      <c r="K101" s="450">
        <f t="shared" si="2882"/>
        <v>304.954249381409</v>
      </c>
      <c r="L101" s="432">
        <f t="shared" si="2882"/>
        <v>0</v>
      </c>
      <c r="M101" s="432">
        <f t="shared" si="2882"/>
        <v>0</v>
      </c>
      <c r="N101" s="432">
        <f t="shared" si="2882"/>
        <v>0</v>
      </c>
      <c r="O101" s="432">
        <f t="shared" si="2882"/>
        <v>0</v>
      </c>
      <c r="P101" s="432">
        <f t="shared" si="2882"/>
        <v>0</v>
      </c>
      <c r="Q101" s="432">
        <f t="shared" si="2882"/>
        <v>0</v>
      </c>
      <c r="R101" s="432">
        <f t="shared" si="2882"/>
        <v>0</v>
      </c>
      <c r="S101" s="432">
        <f t="shared" si="2882"/>
        <v>0</v>
      </c>
      <c r="T101" s="14"/>
      <c r="U101" s="5">
        <f>VLOOKUP(B:B,'[4]合计'!$B:$C,2,0)</f>
        <v>0</v>
      </c>
      <c r="V101" s="5">
        <f>VLOOKUP(B:B,'[4]合计'!$B:$L,11,FALSE)</f>
        <v>0</v>
      </c>
    </row>
    <row r="102" s="10" customFormat="1" ht="18" customHeight="1">
      <c r="A102" s="434">
        <v>1111</v>
      </c>
      <c r="B102" s="452" t="s">
        <v>165</v>
      </c>
      <c r="C102" s="436">
        <f t="shared" ref="C102:C112" si="2883">D102+M102+S102</f>
        <v>0</v>
      </c>
      <c r="D102" s="436">
        <f t="shared" ref="D102:D112" si="2884">E102+F102</f>
        <v>0</v>
      </c>
      <c r="E102" s="436"/>
      <c r="F102" s="436">
        <f>VLOOKUP(B102,[5]测算分配表!$B:$P,15,0)</f>
        <v>0</v>
      </c>
      <c r="G102" s="435">
        <f>VLOOKUP(B102,[5]测算分配表!$B:$H,7,0)</f>
        <v>0</v>
      </c>
      <c r="H102" s="435">
        <f>VLOOKUP(B102,[5]测算分配表!$B:$J,9,0)</f>
        <v>0</v>
      </c>
      <c r="I102" s="435">
        <f>VLOOKUP(B102,[5]测算分配表!$B:$K,10,0)</f>
        <v>0</v>
      </c>
      <c r="J102" s="436">
        <f>VLOOKUP(B102,[5]测算分配表!$B:$L,11,0)</f>
        <v>0</v>
      </c>
      <c r="K102" s="453">
        <f>VLOOKUP(B102,[5]测算分配表!$B:$N,13,0)</f>
        <v>0</v>
      </c>
      <c r="L102" s="436"/>
      <c r="M102" s="436"/>
      <c r="N102" s="436"/>
      <c r="O102" s="436"/>
      <c r="P102" s="436"/>
      <c r="Q102" s="436"/>
      <c r="R102" s="436"/>
      <c r="S102" s="436"/>
      <c r="T102" s="14"/>
      <c r="U102" s="5">
        <f>VLOOKUP(B:B,'[4]合计'!$B:$C,2,0)</f>
        <v>0</v>
      </c>
      <c r="V102" s="5">
        <f>VLOOKUP(B:B,'[4]合计'!$B:$L,11,FALSE)</f>
        <v>0</v>
      </c>
    </row>
    <row r="103" s="5" customFormat="1" ht="18" customHeight="1">
      <c r="A103" s="85">
        <v>76</v>
      </c>
      <c r="B103" s="86" t="s">
        <v>166</v>
      </c>
      <c r="C103" s="436">
        <f t="shared" si="2883"/>
        <v>162</v>
      </c>
      <c r="D103" s="436">
        <f t="shared" si="2884"/>
        <v>162</v>
      </c>
      <c r="E103" s="436"/>
      <c r="F103" s="436">
        <f>VLOOKUP(B103,'[5]测算分配表'!$B:$P,15,0)</f>
        <v>162</v>
      </c>
      <c r="G103" s="435">
        <f>VLOOKUP(B103,'[5]测算分配表'!$B:$H,7,0)</f>
        <v>212.266837365057</v>
      </c>
      <c r="H103" s="435">
        <f>VLOOKUP(B103,'[5]测算分配表'!$B:$J,9,0)</f>
        <v>0</v>
      </c>
      <c r="I103" s="435">
        <f>VLOOKUP(B103,'[5]测算分配表'!$B:$K,10,0)</f>
        <v>0</v>
      </c>
      <c r="J103" s="436">
        <f>VLOOKUP(B103,'[5]测算分配表'!$B:$L,11,0)</f>
        <v>-50</v>
      </c>
      <c r="K103" s="453">
        <f>VLOOKUP(B103,'[5]测算分配表'!$B:$N,13,0)</f>
        <v>0</v>
      </c>
      <c r="L103" s="436"/>
      <c r="M103" s="436"/>
      <c r="N103" s="436"/>
      <c r="O103" s="436"/>
      <c r="P103" s="436"/>
      <c r="Q103" s="436"/>
      <c r="R103" s="436"/>
      <c r="S103" s="436"/>
      <c r="T103" s="455"/>
      <c r="U103" s="5" t="str">
        <f>VLOOKUP(B:B,'[4]合计'!$B:$C,2,0)</f>
        <v>非贫困县</v>
      </c>
      <c r="V103" s="5">
        <f>VLOOKUP(B:B,'[4]合计'!$B:$L,11,FALSE)</f>
        <v>0</v>
      </c>
    </row>
    <row r="104" s="5" customFormat="1" ht="18" customHeight="1">
      <c r="A104" s="85">
        <v>77</v>
      </c>
      <c r="B104" s="86" t="s">
        <v>167</v>
      </c>
      <c r="C104" s="436">
        <f t="shared" si="2883"/>
        <v>193</v>
      </c>
      <c r="D104" s="436">
        <f t="shared" si="2884"/>
        <v>193</v>
      </c>
      <c r="E104" s="436"/>
      <c r="F104" s="436">
        <f>VLOOKUP(B104,'[5]测算分配表'!$B:$P,15,0)</f>
        <v>193</v>
      </c>
      <c r="G104" s="435">
        <f>VLOOKUP(B104,'[5]测算分配表'!$B:$H,7,0)</f>
        <v>193.140321459978</v>
      </c>
      <c r="H104" s="435">
        <f>VLOOKUP(B104,'[5]测算分配表'!$B:$J,9,0)</f>
        <v>0</v>
      </c>
      <c r="I104" s="435">
        <f>VLOOKUP(B104,'[5]测算分配表'!$B:$K,10,0)</f>
        <v>0</v>
      </c>
      <c r="J104" s="436">
        <f>VLOOKUP(B104,'[5]测算分配表'!$B:$L,11,0)</f>
        <v>0</v>
      </c>
      <c r="K104" s="453">
        <f>VLOOKUP(B104,'[5]测算分配表'!$B:$N,13,0)</f>
        <v>0</v>
      </c>
      <c r="L104" s="436"/>
      <c r="M104" s="436"/>
      <c r="N104" s="436"/>
      <c r="O104" s="436"/>
      <c r="P104" s="436"/>
      <c r="Q104" s="436"/>
      <c r="R104" s="436"/>
      <c r="S104" s="436"/>
      <c r="T104" s="455"/>
      <c r="U104" s="5" t="str">
        <f>VLOOKUP(B:B,'[4]合计'!$B:$C,2,0)</f>
        <v>贫困</v>
      </c>
      <c r="V104" s="5">
        <f>VLOOKUP(B:B,'[4]合计'!$B:$L,11,FALSE)</f>
        <v>0</v>
      </c>
    </row>
    <row r="105" s="5" customFormat="1" ht="18" customHeight="1">
      <c r="A105" s="85">
        <v>78</v>
      </c>
      <c r="B105" s="86" t="s">
        <v>168</v>
      </c>
      <c r="C105" s="436">
        <f t="shared" si="2883"/>
        <v>204</v>
      </c>
      <c r="D105" s="436">
        <f t="shared" si="2884"/>
        <v>204</v>
      </c>
      <c r="E105" s="436"/>
      <c r="F105" s="436">
        <f>VLOOKUP(B105,'[5]测算分配表'!$B:$P,15,0)</f>
        <v>204</v>
      </c>
      <c r="G105" s="435">
        <f>VLOOKUP(B105,'[5]测算分配表'!$B:$H,7,0)</f>
        <v>253.85927620702199</v>
      </c>
      <c r="H105" s="435">
        <f>VLOOKUP(B105,'[5]测算分配表'!$B:$J,9,0)</f>
        <v>0</v>
      </c>
      <c r="I105" s="435">
        <f>VLOOKUP(B105,'[5]测算分配表'!$B:$K,10,0)</f>
        <v>0</v>
      </c>
      <c r="J105" s="436">
        <f>VLOOKUP(B105,'[5]测算分配表'!$B:$L,11,0)</f>
        <v>-50</v>
      </c>
      <c r="K105" s="453">
        <f>VLOOKUP(B105,'[5]测算分配表'!$B:$N,13,0)</f>
        <v>0</v>
      </c>
      <c r="L105" s="436"/>
      <c r="M105" s="436"/>
      <c r="N105" s="436"/>
      <c r="O105" s="436"/>
      <c r="P105" s="436"/>
      <c r="Q105" s="436"/>
      <c r="R105" s="436"/>
      <c r="S105" s="436"/>
      <c r="T105" s="455"/>
      <c r="U105" s="5" t="str">
        <f>VLOOKUP(B:B,'[4]合计'!$B:$C,2,0)</f>
        <v>贫困</v>
      </c>
      <c r="V105" s="5">
        <f>VLOOKUP(B:B,'[4]合计'!$B:$L,11,FALSE)</f>
        <v>0</v>
      </c>
    </row>
    <row r="106" s="5" customFormat="1" ht="18" customHeight="1">
      <c r="A106" s="85">
        <v>79</v>
      </c>
      <c r="B106" s="86" t="s">
        <v>169</v>
      </c>
      <c r="C106" s="436">
        <f t="shared" si="2883"/>
        <v>409</v>
      </c>
      <c r="D106" s="436">
        <f t="shared" si="2884"/>
        <v>409</v>
      </c>
      <c r="E106" s="436"/>
      <c r="F106" s="436">
        <f>VLOOKUP(B106,'[5]测算分配表'!$B:$P,15,0)</f>
        <v>409</v>
      </c>
      <c r="G106" s="435">
        <f>VLOOKUP(B106,'[5]测算分配表'!$B:$H,7,0)</f>
        <v>274.53875209341101</v>
      </c>
      <c r="H106" s="435">
        <f>VLOOKUP(B106,'[5]测算分配表'!$B:$J,9,0)</f>
        <v>0</v>
      </c>
      <c r="I106" s="435">
        <f>VLOOKUP(B106,'[5]测算分配表'!$B:$K,10,0)</f>
        <v>0</v>
      </c>
      <c r="J106" s="436">
        <f>VLOOKUP(B106,'[5]测算分配表'!$B:$L,11,0)</f>
        <v>0</v>
      </c>
      <c r="K106" s="453">
        <f>VLOOKUP(B106,'[5]测算分配表'!$B:$N,13,0)</f>
        <v>134.00201312956801</v>
      </c>
      <c r="L106" s="436"/>
      <c r="M106" s="436"/>
      <c r="N106" s="436"/>
      <c r="O106" s="436"/>
      <c r="P106" s="436"/>
      <c r="Q106" s="436"/>
      <c r="R106" s="436"/>
      <c r="S106" s="436"/>
      <c r="T106" s="455"/>
      <c r="U106" s="5" t="str">
        <f>VLOOKUP(B:B,'[4]合计'!$B:$C,2,0)</f>
        <v>贫困</v>
      </c>
      <c r="V106" s="5">
        <f>VLOOKUP(B:B,'[4]合计'!$B:$L,11,FALSE)</f>
        <v>0</v>
      </c>
    </row>
    <row r="107" s="5" customFormat="1" ht="18" customHeight="1">
      <c r="A107" s="85">
        <v>80</v>
      </c>
      <c r="B107" s="86" t="s">
        <v>170</v>
      </c>
      <c r="C107" s="436">
        <f t="shared" si="2883"/>
        <v>165</v>
      </c>
      <c r="D107" s="436">
        <f t="shared" si="2884"/>
        <v>165</v>
      </c>
      <c r="E107" s="436"/>
      <c r="F107" s="436">
        <f>VLOOKUP(B107,'[5]测算分配表'!$B:$P,15,0)</f>
        <v>165</v>
      </c>
      <c r="G107" s="435">
        <f>VLOOKUP(B107,'[5]测算分配表'!$B:$H,7,0)</f>
        <v>164.56488972316399</v>
      </c>
      <c r="H107" s="435">
        <f>VLOOKUP(B107,'[5]测算分配表'!$B:$J,9,0)</f>
        <v>0</v>
      </c>
      <c r="I107" s="435">
        <f>VLOOKUP(B107,'[5]测算分配表'!$B:$K,10,0)</f>
        <v>0</v>
      </c>
      <c r="J107" s="436">
        <f>VLOOKUP(B107,'[5]测算分配表'!$B:$L,11,0)</f>
        <v>0</v>
      </c>
      <c r="K107" s="453">
        <f>VLOOKUP(B107,'[5]测算分配表'!$B:$N,13,0)</f>
        <v>0</v>
      </c>
      <c r="L107" s="436"/>
      <c r="M107" s="436"/>
      <c r="N107" s="436"/>
      <c r="O107" s="436"/>
      <c r="P107" s="436"/>
      <c r="Q107" s="436"/>
      <c r="R107" s="436"/>
      <c r="S107" s="436"/>
      <c r="T107" s="455"/>
      <c r="U107" s="5" t="str">
        <f>VLOOKUP(B:B,'[4]合计'!$B:$C,2,0)</f>
        <v>贫困</v>
      </c>
      <c r="V107" s="5">
        <f>VLOOKUP(B:B,'[4]合计'!$B:$L,11,FALSE)</f>
        <v>0</v>
      </c>
    </row>
    <row r="108" s="5" customFormat="1" ht="18" customHeight="1">
      <c r="A108" s="85">
        <v>81</v>
      </c>
      <c r="B108" s="86" t="s">
        <v>171</v>
      </c>
      <c r="C108" s="436">
        <f t="shared" si="2883"/>
        <v>408</v>
      </c>
      <c r="D108" s="436">
        <f t="shared" si="2884"/>
        <v>408</v>
      </c>
      <c r="E108" s="436"/>
      <c r="F108" s="436">
        <f>VLOOKUP(B108,'[5]测算分配表'!$B:$P,15,0)</f>
        <v>408</v>
      </c>
      <c r="G108" s="435">
        <f>VLOOKUP(B108,'[5]测算分配表'!$B:$H,7,0)</f>
        <v>237.13123089957401</v>
      </c>
      <c r="H108" s="435">
        <f>VLOOKUP(B108,'[5]测算分配表'!$B:$J,9,0)</f>
        <v>0</v>
      </c>
      <c r="I108" s="435">
        <f>VLOOKUP(B108,'[5]测算分配表'!$B:$K,10,0)</f>
        <v>0</v>
      </c>
      <c r="J108" s="436">
        <f>VLOOKUP(B108,'[5]测算分配表'!$B:$L,11,0)</f>
        <v>0</v>
      </c>
      <c r="K108" s="453">
        <f>VLOOKUP(B108,'[5]测算分配表'!$B:$N,13,0)</f>
        <v>170.95223625184099</v>
      </c>
      <c r="L108" s="436"/>
      <c r="M108" s="436"/>
      <c r="N108" s="436"/>
      <c r="O108" s="436"/>
      <c r="P108" s="436"/>
      <c r="Q108" s="436"/>
      <c r="R108" s="436"/>
      <c r="S108" s="436"/>
      <c r="T108" s="455"/>
      <c r="U108" s="5" t="str">
        <f>VLOOKUP(B:B,'[4]合计'!$B:$C,2,0)</f>
        <v>贫困</v>
      </c>
      <c r="V108" s="5">
        <f>VLOOKUP(B:B,'[4]合计'!$B:$L,11,FALSE)</f>
        <v>0</v>
      </c>
    </row>
    <row r="109" s="5" customFormat="1" ht="18" customHeight="1">
      <c r="A109" s="85">
        <v>82</v>
      </c>
      <c r="B109" s="86" t="s">
        <v>172</v>
      </c>
      <c r="C109" s="436">
        <f t="shared" si="2883"/>
        <v>197</v>
      </c>
      <c r="D109" s="436">
        <f t="shared" si="2884"/>
        <v>197</v>
      </c>
      <c r="E109" s="436"/>
      <c r="F109" s="436">
        <f>VLOOKUP(B109,'[5]测算分配表'!$B:$P,15,0)</f>
        <v>197</v>
      </c>
      <c r="G109" s="435">
        <f>VLOOKUP(B109,'[5]测算分配表'!$B:$H,7,0)</f>
        <v>197.079452728224</v>
      </c>
      <c r="H109" s="435">
        <f>VLOOKUP(B109,'[5]测算分配表'!$B:$J,9,0)</f>
        <v>0</v>
      </c>
      <c r="I109" s="435">
        <f>VLOOKUP(B109,'[5]测算分配表'!$B:$K,10,0)</f>
        <v>0</v>
      </c>
      <c r="J109" s="436">
        <f>VLOOKUP(B109,'[5]测算分配表'!$B:$L,11,0)</f>
        <v>0</v>
      </c>
      <c r="K109" s="453">
        <f>VLOOKUP(B109,'[5]测算分配表'!$B:$N,13,0)</f>
        <v>0</v>
      </c>
      <c r="L109" s="436"/>
      <c r="M109" s="436"/>
      <c r="N109" s="436"/>
      <c r="O109" s="436"/>
      <c r="P109" s="436"/>
      <c r="Q109" s="436"/>
      <c r="R109" s="436"/>
      <c r="S109" s="436"/>
      <c r="T109" s="455"/>
      <c r="U109" s="5" t="str">
        <f>VLOOKUP(B:B,'[4]合计'!$B:$C,2,0)</f>
        <v>贫困</v>
      </c>
      <c r="V109" s="5">
        <f>VLOOKUP(B:B,'[4]合计'!$B:$L,11,FALSE)</f>
        <v>0</v>
      </c>
    </row>
    <row r="110" s="5" customFormat="1" ht="18" customHeight="1">
      <c r="A110" s="85">
        <v>83</v>
      </c>
      <c r="B110" s="86" t="s">
        <v>173</v>
      </c>
      <c r="C110" s="436">
        <f t="shared" si="2883"/>
        <v>183</v>
      </c>
      <c r="D110" s="436">
        <f t="shared" si="2884"/>
        <v>183</v>
      </c>
      <c r="E110" s="436"/>
      <c r="F110" s="436">
        <f>VLOOKUP(B110,'[5]测算分配表'!$B:$P,15,0)</f>
        <v>183</v>
      </c>
      <c r="G110" s="435">
        <f>VLOOKUP(B110,'[5]测算分配表'!$B:$H,7,0)</f>
        <v>233.36224036950799</v>
      </c>
      <c r="H110" s="435">
        <f>VLOOKUP(B110,'[5]测算分配表'!$B:$J,9,0)</f>
        <v>0</v>
      </c>
      <c r="I110" s="435">
        <f>VLOOKUP(B110,'[5]测算分配表'!$B:$K,10,0)</f>
        <v>0</v>
      </c>
      <c r="J110" s="436">
        <f>VLOOKUP(B110,'[5]测算分配表'!$B:$L,11,0)</f>
        <v>-50</v>
      </c>
      <c r="K110" s="453">
        <f>VLOOKUP(B110,'[5]测算分配表'!$B:$N,13,0)</f>
        <v>0</v>
      </c>
      <c r="L110" s="436"/>
      <c r="M110" s="436"/>
      <c r="N110" s="436"/>
      <c r="O110" s="436"/>
      <c r="P110" s="436"/>
      <c r="Q110" s="436"/>
      <c r="R110" s="436"/>
      <c r="S110" s="436"/>
      <c r="T110" s="455"/>
      <c r="U110" s="5" t="str">
        <f>VLOOKUP(B:B,'[4]合计'!$B:$C,2,0)</f>
        <v>非贫困县</v>
      </c>
      <c r="V110" s="5">
        <f>VLOOKUP(B:B,'[4]合计'!$B:$L,11,FALSE)</f>
        <v>0</v>
      </c>
    </row>
    <row r="111" ht="18" customHeight="1">
      <c r="A111" s="85">
        <v>84</v>
      </c>
      <c r="B111" s="86" t="s">
        <v>174</v>
      </c>
      <c r="C111" s="436">
        <f t="shared" si="2883"/>
        <v>564</v>
      </c>
      <c r="D111" s="436">
        <f t="shared" si="2884"/>
        <v>564</v>
      </c>
      <c r="E111" s="436"/>
      <c r="F111" s="436">
        <f>VLOOKUP(B111,'[5]测算分配表'!$B:$P,15,0)</f>
        <v>564</v>
      </c>
      <c r="G111" s="435">
        <f>VLOOKUP(B111,'[5]测算分配表'!$B:$H,7,0)</f>
        <v>563.88786037578996</v>
      </c>
      <c r="H111" s="435">
        <f>VLOOKUP(B111,'[5]测算分配表'!$B:$J,9,0)</f>
        <v>0</v>
      </c>
      <c r="I111" s="435">
        <f>VLOOKUP(B111,'[5]测算分配表'!$B:$K,10,0)</f>
        <v>0</v>
      </c>
      <c r="J111" s="436">
        <f>VLOOKUP(B111,'[5]测算分配表'!$B:$L,11,0)</f>
        <v>0</v>
      </c>
      <c r="K111" s="453">
        <f>VLOOKUP(B111,'[5]测算分配表'!$B:$N,13,0)</f>
        <v>0</v>
      </c>
      <c r="L111" s="436"/>
      <c r="M111" s="436"/>
      <c r="N111" s="436"/>
      <c r="O111" s="436"/>
      <c r="P111" s="436"/>
      <c r="Q111" s="436"/>
      <c r="R111" s="436"/>
      <c r="S111" s="436"/>
      <c r="T111" s="455"/>
      <c r="U111" s="5" t="str">
        <f>VLOOKUP(B:B,'[4]合计'!$B:$C,2,0)</f>
        <v>深度贫困</v>
      </c>
      <c r="V111" s="5" t="str">
        <f>VLOOKUP(B:B,'[4]合计'!$B:$L,11,FALSE)</f>
        <v>国家级</v>
      </c>
    </row>
    <row r="112" ht="18" customHeight="1">
      <c r="A112" s="85">
        <v>85</v>
      </c>
      <c r="B112" s="86" t="s">
        <v>175</v>
      </c>
      <c r="C112" s="436">
        <f t="shared" si="2883"/>
        <v>234</v>
      </c>
      <c r="D112" s="436">
        <f t="shared" si="2884"/>
        <v>234</v>
      </c>
      <c r="E112" s="436"/>
      <c r="F112" s="436">
        <f>VLOOKUP(B112,'[5]测算分配表'!$B:$P,15,0)</f>
        <v>234</v>
      </c>
      <c r="G112" s="435">
        <f>VLOOKUP(B112,'[5]测算分配表'!$B:$H,7,0)</f>
        <v>233.766217104026</v>
      </c>
      <c r="H112" s="435">
        <f>VLOOKUP(B112,'[5]测算分配表'!$B:$J,9,0)</f>
        <v>0</v>
      </c>
      <c r="I112" s="435">
        <f>VLOOKUP(B112,'[5]测算分配表'!$B:$K,10,0)</f>
        <v>0</v>
      </c>
      <c r="J112" s="436">
        <f>VLOOKUP(B112,'[5]测算分配表'!$B:$L,11,0)</f>
        <v>0</v>
      </c>
      <c r="K112" s="453">
        <f>VLOOKUP(B112,'[5]测算分配表'!$B:$N,13,0)</f>
        <v>0</v>
      </c>
      <c r="L112" s="436"/>
      <c r="M112" s="436"/>
      <c r="N112" s="436"/>
      <c r="O112" s="436"/>
      <c r="P112" s="436"/>
      <c r="Q112" s="436"/>
      <c r="R112" s="436"/>
      <c r="S112" s="436"/>
      <c r="T112" s="455"/>
      <c r="U112" s="5" t="str">
        <f>VLOOKUP(B:B,'[4]合计'!$B:$C,2,0)</f>
        <v>非贫困县</v>
      </c>
      <c r="V112" s="5">
        <f>VLOOKUP(B:B,'[4]合计'!$B:$L,11,FALSE)</f>
        <v>0</v>
      </c>
    </row>
    <row r="113" s="10" customFormat="1" ht="18" customHeight="1">
      <c r="A113" s="427"/>
      <c r="B113" s="431" t="s">
        <v>176</v>
      </c>
      <c r="C113" s="432">
        <f t="shared" ref="C113:I113" si="2885">SUM(C114:C126)</f>
        <v>3452</v>
      </c>
      <c r="D113" s="432">
        <f t="shared" si="2885"/>
        <v>3452</v>
      </c>
      <c r="E113" s="432">
        <f t="shared" si="2885"/>
        <v>0</v>
      </c>
      <c r="F113" s="432">
        <f t="shared" si="2885"/>
        <v>3452</v>
      </c>
      <c r="G113" s="433">
        <f t="shared" si="2885"/>
        <v>2364.9946310023001</v>
      </c>
      <c r="H113" s="433">
        <f t="shared" si="2885"/>
        <v>400</v>
      </c>
      <c r="I113" s="433">
        <f t="shared" si="2885"/>
        <v>0</v>
      </c>
      <c r="J113" s="432">
        <f t="shared" ref="J113:S113" si="2886">SUM(J114:J126)</f>
        <v>-350</v>
      </c>
      <c r="K113" s="450">
        <f t="shared" si="2886"/>
        <v>536.35071604817699</v>
      </c>
      <c r="L113" s="432">
        <f t="shared" si="2886"/>
        <v>0</v>
      </c>
      <c r="M113" s="432">
        <f t="shared" si="2886"/>
        <v>0</v>
      </c>
      <c r="N113" s="432">
        <f t="shared" si="2886"/>
        <v>0</v>
      </c>
      <c r="O113" s="432">
        <f t="shared" si="2886"/>
        <v>0</v>
      </c>
      <c r="P113" s="432">
        <f t="shared" si="2886"/>
        <v>0</v>
      </c>
      <c r="Q113" s="432">
        <f t="shared" si="2886"/>
        <v>0</v>
      </c>
      <c r="R113" s="432">
        <f t="shared" si="2886"/>
        <v>0</v>
      </c>
      <c r="S113" s="432">
        <f t="shared" si="2886"/>
        <v>0</v>
      </c>
      <c r="T113" s="14"/>
      <c r="U113" s="5">
        <f>VLOOKUP(B:B,'[4]合计'!$B:$C,2,0)</f>
        <v>0</v>
      </c>
      <c r="V113" s="5">
        <f>VLOOKUP(B:B,'[4]合计'!$B:$L,11,FALSE)</f>
        <v>0</v>
      </c>
    </row>
    <row r="114" s="5" customFormat="1" ht="18" customHeight="1">
      <c r="A114" s="434">
        <v>1111</v>
      </c>
      <c r="B114" s="452" t="s">
        <v>177</v>
      </c>
      <c r="C114" s="436">
        <f t="shared" ref="C114:C126" si="2887">D114+M114+S114</f>
        <v>345</v>
      </c>
      <c r="D114" s="436">
        <f t="shared" ref="D114:D126" si="2888">E114+F114</f>
        <v>345</v>
      </c>
      <c r="E114" s="436">
        <v>345</v>
      </c>
      <c r="F114" s="436">
        <f>VLOOKUP(B114,[5]测算分配表!$B:$P,15,0)</f>
        <v>0</v>
      </c>
      <c r="G114" s="435">
        <f>VLOOKUP(B114,[5]测算分配表!$B:$H,7,0)</f>
        <v>0</v>
      </c>
      <c r="H114" s="435">
        <f>VLOOKUP(B114,[5]测算分配表!$B:$J,9,0)</f>
        <v>0</v>
      </c>
      <c r="I114" s="435">
        <f>VLOOKUP(B114,[5]测算分配表!$B:$K,10,0)</f>
        <v>0</v>
      </c>
      <c r="J114" s="436">
        <f>VLOOKUP(B114,[5]测算分配表!$B:$L,11,0)</f>
        <v>0</v>
      </c>
      <c r="K114" s="453">
        <f>VLOOKUP(B114,[5]测算分配表!$B:$N,13,0)</f>
        <v>0</v>
      </c>
      <c r="L114" s="436"/>
      <c r="M114" s="436"/>
      <c r="N114" s="436"/>
      <c r="O114" s="436"/>
      <c r="P114" s="436"/>
      <c r="Q114" s="436"/>
      <c r="R114" s="436"/>
      <c r="S114" s="436"/>
      <c r="T114" s="455"/>
      <c r="U114" s="5">
        <f>VLOOKUP(B:B,'[4]合计'!$B:$C,2,0)</f>
        <v>0</v>
      </c>
      <c r="V114" s="5">
        <f>VLOOKUP(B:B,'[4]合计'!$B:$L,11,FALSE)</f>
        <v>0</v>
      </c>
    </row>
    <row r="115" ht="18" customHeight="1">
      <c r="A115" s="85">
        <v>86</v>
      </c>
      <c r="B115" s="86" t="s">
        <v>178</v>
      </c>
      <c r="C115" s="436">
        <f t="shared" si="2887"/>
        <v>0</v>
      </c>
      <c r="D115" s="436">
        <f t="shared" si="2888"/>
        <v>0</v>
      </c>
      <c r="E115" s="436"/>
      <c r="F115" s="436">
        <f>VLOOKUP(B115,'[5]测算分配表'!$B:$P,15,0)</f>
        <v>0</v>
      </c>
      <c r="G115" s="435">
        <f>VLOOKUP(B115,'[5]测算分配表'!$B:$H,7,0)</f>
        <v>0</v>
      </c>
      <c r="H115" s="435">
        <f>VLOOKUP(B115,'[5]测算分配表'!$B:$J,9,0)</f>
        <v>0</v>
      </c>
      <c r="I115" s="435">
        <f>VLOOKUP(B115,'[5]测算分配表'!$B:$K,10,0)</f>
        <v>0</v>
      </c>
      <c r="J115" s="436">
        <f>VLOOKUP(B115,'[5]测算分配表'!$B:$L,11,0)</f>
        <v>0</v>
      </c>
      <c r="K115" s="453">
        <f>VLOOKUP(B115,'[5]测算分配表'!$B:$N,13,0)</f>
        <v>0</v>
      </c>
      <c r="L115" s="436"/>
      <c r="M115" s="436"/>
      <c r="N115" s="436"/>
      <c r="O115" s="436"/>
      <c r="P115" s="436"/>
      <c r="Q115" s="436"/>
      <c r="R115" s="436"/>
      <c r="S115" s="436"/>
      <c r="T115" s="455"/>
      <c r="U115" s="5" t="str">
        <f>VLOOKUP(B:B,'[4]合计'!$B:$C,2,0)</f>
        <v>非贫困县</v>
      </c>
      <c r="V115" s="5">
        <f>VLOOKUP(B:B,'[4]合计'!$B:$L,11,FALSE)</f>
        <v>0</v>
      </c>
    </row>
    <row r="116" s="5" customFormat="1" ht="18" customHeight="1">
      <c r="A116" s="85">
        <v>87</v>
      </c>
      <c r="B116" s="86" t="s">
        <v>179</v>
      </c>
      <c r="C116" s="436">
        <f t="shared" si="2887"/>
        <v>0</v>
      </c>
      <c r="D116" s="436">
        <f t="shared" si="2888"/>
        <v>0</v>
      </c>
      <c r="E116" s="436"/>
      <c r="F116" s="436">
        <f>VLOOKUP(B116,'[5]测算分配表'!$B:$P,15,0)</f>
        <v>0</v>
      </c>
      <c r="G116" s="435">
        <f>VLOOKUP(B116,'[5]测算分配表'!$B:$H,7,0)</f>
        <v>0</v>
      </c>
      <c r="H116" s="435">
        <f>VLOOKUP(B116,'[5]测算分配表'!$B:$J,9,0)</f>
        <v>0</v>
      </c>
      <c r="I116" s="435">
        <f>VLOOKUP(B116,'[5]测算分配表'!$B:$K,10,0)</f>
        <v>0</v>
      </c>
      <c r="J116" s="436">
        <f>VLOOKUP(B116,'[5]测算分配表'!$B:$L,11,0)</f>
        <v>0</v>
      </c>
      <c r="K116" s="453">
        <f>VLOOKUP(B116,'[5]测算分配表'!$B:$N,13,0)</f>
        <v>0</v>
      </c>
      <c r="L116" s="436"/>
      <c r="M116" s="436"/>
      <c r="N116" s="436"/>
      <c r="O116" s="436"/>
      <c r="P116" s="436"/>
      <c r="Q116" s="436"/>
      <c r="R116" s="436"/>
      <c r="S116" s="436"/>
      <c r="T116" s="455"/>
      <c r="U116" s="5" t="str">
        <f>VLOOKUP(B:B,'[4]合计'!$B:$C,2,0)</f>
        <v>贫困</v>
      </c>
      <c r="V116" s="5">
        <f>VLOOKUP(B:B,'[4]合计'!$B:$L,11,FALSE)</f>
        <v>0</v>
      </c>
    </row>
    <row r="117" ht="18" customHeight="1">
      <c r="A117" s="85">
        <v>88</v>
      </c>
      <c r="B117" s="86" t="s">
        <v>180</v>
      </c>
      <c r="C117" s="436">
        <f t="shared" si="2887"/>
        <v>210</v>
      </c>
      <c r="D117" s="436">
        <f t="shared" si="2888"/>
        <v>210</v>
      </c>
      <c r="E117" s="436">
        <f t="shared" ref="E117:E126" si="2889">-ROUND(F117*0.1,0)</f>
        <v>-23</v>
      </c>
      <c r="F117" s="436">
        <f>VLOOKUP(B117,'[5]测算分配表'!$B:$P,15,0)</f>
        <v>233</v>
      </c>
      <c r="G117" s="435">
        <f>VLOOKUP(B117,'[5]测算分配表'!$B:$H,7,0)</f>
        <v>232.98208993446801</v>
      </c>
      <c r="H117" s="435">
        <f>VLOOKUP(B117,'[5]测算分配表'!$B:$J,9,0)</f>
        <v>0</v>
      </c>
      <c r="I117" s="435">
        <f>VLOOKUP(B117,'[5]测算分配表'!$B:$K,10,0)</f>
        <v>0</v>
      </c>
      <c r="J117" s="436">
        <f>VLOOKUP(B117,'[5]测算分配表'!$B:$L,11,0)</f>
        <v>0</v>
      </c>
      <c r="K117" s="453">
        <f>VLOOKUP(B117,'[5]测算分配表'!$B:$N,13,0)</f>
        <v>0</v>
      </c>
      <c r="L117" s="436"/>
      <c r="M117" s="436"/>
      <c r="N117" s="436"/>
      <c r="O117" s="436"/>
      <c r="P117" s="436"/>
      <c r="Q117" s="436"/>
      <c r="R117" s="436"/>
      <c r="S117" s="436"/>
      <c r="T117" s="455"/>
      <c r="U117" s="5" t="str">
        <f>VLOOKUP(B:B,'[4]合计'!$B:$C,2,0)</f>
        <v>贫困</v>
      </c>
      <c r="V117" s="5">
        <f>VLOOKUP(B:B,'[4]合计'!$B:$L,11,FALSE)</f>
        <v>0</v>
      </c>
    </row>
    <row r="118" ht="18" customHeight="1">
      <c r="A118" s="85">
        <v>89</v>
      </c>
      <c r="B118" s="86" t="s">
        <v>181</v>
      </c>
      <c r="C118" s="436">
        <f t="shared" si="2887"/>
        <v>646</v>
      </c>
      <c r="D118" s="436">
        <f t="shared" si="2888"/>
        <v>646</v>
      </c>
      <c r="E118" s="436">
        <f t="shared" si="2889"/>
        <v>-72</v>
      </c>
      <c r="F118" s="436">
        <f>VLOOKUP(B118,'[5]测算分配表'!$B:$P,15,0)</f>
        <v>718</v>
      </c>
      <c r="G118" s="435">
        <f>VLOOKUP(B118,'[5]测算分配表'!$B:$H,7,0)</f>
        <v>217.70960494466601</v>
      </c>
      <c r="H118" s="435">
        <f>VLOOKUP(B118,'[5]测算分配表'!$B:$J,9,0)</f>
        <v>0</v>
      </c>
      <c r="I118" s="435">
        <f>VLOOKUP(B118,'[5]测算分配表'!$B:$K,10,0)</f>
        <v>0</v>
      </c>
      <c r="J118" s="436">
        <f>VLOOKUP(B118,'[5]测算分配表'!$B:$L,11,0)</f>
        <v>0</v>
      </c>
      <c r="K118" s="453">
        <f>VLOOKUP(B118,'[5]测算分配表'!$B:$N,13,0)</f>
        <v>0</v>
      </c>
      <c r="L118" s="436"/>
      <c r="M118" s="436"/>
      <c r="N118" s="436"/>
      <c r="O118" s="436"/>
      <c r="P118" s="436"/>
      <c r="Q118" s="436"/>
      <c r="R118" s="436"/>
      <c r="S118" s="436"/>
      <c r="T118" s="455"/>
      <c r="U118" s="5" t="str">
        <f>VLOOKUP(B:B,'[4]合计'!$B:$C,2,0)</f>
        <v>贫困</v>
      </c>
      <c r="V118" s="5">
        <f>VLOOKUP(B:B,'[4]合计'!$B:$L,11,FALSE)</f>
        <v>0</v>
      </c>
    </row>
    <row r="119" ht="18" customHeight="1">
      <c r="A119" s="85">
        <v>90</v>
      </c>
      <c r="B119" s="86" t="s">
        <v>182</v>
      </c>
      <c r="C119" s="436">
        <f t="shared" si="2887"/>
        <v>283</v>
      </c>
      <c r="D119" s="436">
        <f t="shared" si="2888"/>
        <v>283</v>
      </c>
      <c r="E119" s="436">
        <f t="shared" si="2889"/>
        <v>-31</v>
      </c>
      <c r="F119" s="436">
        <f>VLOOKUP(B119,'[5]测算分配表'!$B:$P,15,0)</f>
        <v>314</v>
      </c>
      <c r="G119" s="435">
        <f>VLOOKUP(B119,'[5]测算分配表'!$B:$H,7,0)</f>
        <v>363.77725334739199</v>
      </c>
      <c r="H119" s="435">
        <f>VLOOKUP(B119,'[5]测算分配表'!$B:$J,9,0)</f>
        <v>0</v>
      </c>
      <c r="I119" s="435">
        <f>VLOOKUP(B119,'[5]测算分配表'!$B:$K,10,0)</f>
        <v>0</v>
      </c>
      <c r="J119" s="436">
        <f>VLOOKUP(B119,'[5]测算分配表'!$B:$L,11,0)</f>
        <v>-50</v>
      </c>
      <c r="K119" s="453">
        <f>VLOOKUP(B119,'[5]测算分配表'!$B:$N,13,0)</f>
        <v>0</v>
      </c>
      <c r="L119" s="436"/>
      <c r="M119" s="436"/>
      <c r="N119" s="436"/>
      <c r="O119" s="436"/>
      <c r="P119" s="436"/>
      <c r="Q119" s="436"/>
      <c r="R119" s="436"/>
      <c r="S119" s="436"/>
      <c r="T119" s="455"/>
      <c r="U119" s="5" t="str">
        <f>VLOOKUP(B:B,'[4]合计'!$B:$C,2,0)</f>
        <v>贫困</v>
      </c>
      <c r="V119" s="5" t="str">
        <f>VLOOKUP(B:B,'[4]合计'!$B:$L,11,FALSE)</f>
        <v>省级</v>
      </c>
    </row>
    <row r="120" ht="18" customHeight="1">
      <c r="A120" s="85">
        <v>91</v>
      </c>
      <c r="B120" s="86" t="s">
        <v>183</v>
      </c>
      <c r="C120" s="436">
        <f t="shared" si="2887"/>
        <v>297</v>
      </c>
      <c r="D120" s="436">
        <f t="shared" si="2888"/>
        <v>297</v>
      </c>
      <c r="E120" s="436">
        <f t="shared" si="2889"/>
        <v>-33</v>
      </c>
      <c r="F120" s="436">
        <f>VLOOKUP(B120,'[5]测算分配表'!$B:$P,15,0)</f>
        <v>330</v>
      </c>
      <c r="G120" s="435">
        <f>VLOOKUP(B120,'[5]测算分配表'!$B:$H,7,0)</f>
        <v>330.13126358259899</v>
      </c>
      <c r="H120" s="435">
        <f>VLOOKUP(B120,'[5]测算分配表'!$B:$J,9,0)</f>
        <v>0</v>
      </c>
      <c r="I120" s="435">
        <f>VLOOKUP(B120,'[5]测算分配表'!$B:$K,10,0)</f>
        <v>0</v>
      </c>
      <c r="J120" s="436">
        <f>VLOOKUP(B120,'[5]测算分配表'!$B:$L,11,0)</f>
        <v>0</v>
      </c>
      <c r="K120" s="453">
        <f>VLOOKUP(B120,'[5]测算分配表'!$B:$N,13,0)</f>
        <v>0</v>
      </c>
      <c r="L120" s="436"/>
      <c r="M120" s="436"/>
      <c r="N120" s="436"/>
      <c r="O120" s="436"/>
      <c r="P120" s="436"/>
      <c r="Q120" s="436"/>
      <c r="R120" s="436"/>
      <c r="S120" s="436"/>
      <c r="T120" s="455"/>
      <c r="U120" s="5" t="str">
        <f>VLOOKUP(B:B,'[4]合计'!$B:$C,2,0)</f>
        <v>贫困</v>
      </c>
      <c r="V120" s="5" t="str">
        <f>VLOOKUP(B:B,'[4]合计'!$B:$L,11,FALSE)</f>
        <v>省级</v>
      </c>
    </row>
    <row r="121" ht="18" customHeight="1">
      <c r="A121" s="85">
        <v>92</v>
      </c>
      <c r="B121" s="86" t="s">
        <v>184</v>
      </c>
      <c r="C121" s="436">
        <f t="shared" si="2887"/>
        <v>166</v>
      </c>
      <c r="D121" s="436">
        <f t="shared" si="2888"/>
        <v>166</v>
      </c>
      <c r="E121" s="436">
        <f t="shared" si="2889"/>
        <v>-18</v>
      </c>
      <c r="F121" s="436">
        <f>VLOOKUP(B121,'[5]测算分配表'!$B:$P,15,0)</f>
        <v>184</v>
      </c>
      <c r="G121" s="435">
        <f>VLOOKUP(B121,'[5]测算分配表'!$B:$H,7,0)</f>
        <v>233.72001258506501</v>
      </c>
      <c r="H121" s="435">
        <f>VLOOKUP(B121,'[5]测算分配表'!$B:$J,9,0)</f>
        <v>0</v>
      </c>
      <c r="I121" s="435">
        <f>VLOOKUP(B121,'[5]测算分配表'!$B:$K,10,0)</f>
        <v>0</v>
      </c>
      <c r="J121" s="436">
        <f>VLOOKUP(B121,'[5]测算分配表'!$B:$L,11,0)</f>
        <v>-50</v>
      </c>
      <c r="K121" s="453">
        <f>VLOOKUP(B121,'[5]测算分配表'!$B:$N,13,0)</f>
        <v>0</v>
      </c>
      <c r="L121" s="436"/>
      <c r="M121" s="436"/>
      <c r="N121" s="436"/>
      <c r="O121" s="436"/>
      <c r="P121" s="436"/>
      <c r="Q121" s="436"/>
      <c r="R121" s="436"/>
      <c r="S121" s="436"/>
      <c r="T121" s="455"/>
      <c r="U121" s="5" t="str">
        <f>VLOOKUP(B:B,'[4]合计'!$B:$C,2,0)</f>
        <v>贫困</v>
      </c>
      <c r="V121" s="5" t="str">
        <f>VLOOKUP(B:B,'[4]合计'!$B:$L,11,FALSE)</f>
        <v>省级</v>
      </c>
    </row>
    <row r="122" ht="18" customHeight="1">
      <c r="A122" s="85">
        <v>93</v>
      </c>
      <c r="B122" s="86" t="s">
        <v>185</v>
      </c>
      <c r="C122" s="436">
        <f t="shared" si="2887"/>
        <v>321</v>
      </c>
      <c r="D122" s="436">
        <f t="shared" si="2888"/>
        <v>321</v>
      </c>
      <c r="E122" s="436">
        <f t="shared" si="2889"/>
        <v>-36</v>
      </c>
      <c r="F122" s="436">
        <f>VLOOKUP(B122,'[5]测算分配表'!$B:$P,15,0)</f>
        <v>357</v>
      </c>
      <c r="G122" s="435">
        <f>VLOOKUP(B122,'[5]测算分配表'!$B:$H,7,0)</f>
        <v>206.68711131504</v>
      </c>
      <c r="H122" s="435">
        <f>VLOOKUP(B122,'[5]测算分配表'!$B:$J,9,0)</f>
        <v>200</v>
      </c>
      <c r="I122" s="435">
        <f>VLOOKUP(B122,'[5]测算分配表'!$B:$K,10,0)</f>
        <v>0</v>
      </c>
      <c r="J122" s="436">
        <f>VLOOKUP(B122,'[5]测算分配表'!$B:$L,11,0)</f>
        <v>-50</v>
      </c>
      <c r="K122" s="453">
        <f>VLOOKUP(B122,'[5]测算分配表'!$B:$N,13,0)</f>
        <v>0</v>
      </c>
      <c r="L122" s="436"/>
      <c r="M122" s="436"/>
      <c r="N122" s="436"/>
      <c r="O122" s="436"/>
      <c r="P122" s="436"/>
      <c r="Q122" s="436"/>
      <c r="R122" s="436"/>
      <c r="S122" s="436"/>
      <c r="T122" s="455"/>
      <c r="U122" s="5" t="str">
        <f>VLOOKUP(B:B,'[4]合计'!$B:$C,2,0)</f>
        <v>贫困</v>
      </c>
      <c r="V122" s="5" t="str">
        <f>VLOOKUP(B:B,'[4]合计'!$B:$L,11,FALSE)</f>
        <v>省级</v>
      </c>
    </row>
    <row r="123" ht="18" customHeight="1">
      <c r="A123" s="85">
        <v>94</v>
      </c>
      <c r="B123" s="86" t="s">
        <v>186</v>
      </c>
      <c r="C123" s="436">
        <f t="shared" si="2887"/>
        <v>252</v>
      </c>
      <c r="D123" s="436">
        <f t="shared" si="2888"/>
        <v>252</v>
      </c>
      <c r="E123" s="436">
        <f t="shared" si="2889"/>
        <v>-28</v>
      </c>
      <c r="F123" s="436">
        <f>VLOOKUP(B123,'[5]测算分配表'!$B:$P,15,0)</f>
        <v>280</v>
      </c>
      <c r="G123" s="435">
        <f>VLOOKUP(B123,'[5]测算分配表'!$B:$H,7,0)</f>
        <v>329.97084106529798</v>
      </c>
      <c r="H123" s="435">
        <f>VLOOKUP(B123,'[5]测算分配表'!$B:$J,9,0)</f>
        <v>0</v>
      </c>
      <c r="I123" s="435">
        <f>VLOOKUP(B123,'[5]测算分配表'!$B:$K,10,0)</f>
        <v>0</v>
      </c>
      <c r="J123" s="436">
        <f>VLOOKUP(B123,'[5]测算分配表'!$B:$L,11,0)</f>
        <v>-50</v>
      </c>
      <c r="K123" s="453">
        <f>VLOOKUP(B123,'[5]测算分配表'!$B:$N,13,0)</f>
        <v>0</v>
      </c>
      <c r="L123" s="436"/>
      <c r="M123" s="436"/>
      <c r="N123" s="436"/>
      <c r="O123" s="436"/>
      <c r="P123" s="436"/>
      <c r="Q123" s="436"/>
      <c r="R123" s="436"/>
      <c r="S123" s="436"/>
      <c r="T123" s="455"/>
      <c r="U123" s="5" t="str">
        <f>VLOOKUP(B:B,'[4]合计'!$B:$C,2,0)</f>
        <v>贫困</v>
      </c>
      <c r="V123" s="5" t="str">
        <f>VLOOKUP(B:B,'[4]合计'!$B:$L,11,FALSE)</f>
        <v>省级</v>
      </c>
    </row>
    <row r="124" s="5" customFormat="1" ht="18" customHeight="1">
      <c r="A124" s="85">
        <v>95</v>
      </c>
      <c r="B124" s="86" t="s">
        <v>187</v>
      </c>
      <c r="C124" s="436">
        <f t="shared" si="2887"/>
        <v>482</v>
      </c>
      <c r="D124" s="436">
        <f t="shared" si="2888"/>
        <v>482</v>
      </c>
      <c r="E124" s="436">
        <f t="shared" si="2889"/>
        <v>-54</v>
      </c>
      <c r="F124" s="436">
        <f>VLOOKUP(B124,'[5]测算分配表'!$B:$P,15,0)</f>
        <v>536</v>
      </c>
      <c r="G124" s="435">
        <f>VLOOKUP(B124,'[5]测算分配表'!$B:$H,7,0)</f>
        <v>226.29618921786999</v>
      </c>
      <c r="H124" s="435">
        <f>VLOOKUP(B124,'[5]测算分配表'!$B:$J,9,0)</f>
        <v>0</v>
      </c>
      <c r="I124" s="435">
        <f>VLOOKUP(B124,'[5]测算分配表'!$B:$K,10,0)</f>
        <v>0</v>
      </c>
      <c r="J124" s="436">
        <f>VLOOKUP(B124,'[5]测算分配表'!$B:$L,11,0)</f>
        <v>0</v>
      </c>
      <c r="K124" s="453">
        <f>VLOOKUP(B124,'[5]测算分配表'!$B:$N,13,0)</f>
        <v>310.17982969094999</v>
      </c>
      <c r="L124" s="436"/>
      <c r="M124" s="436"/>
      <c r="N124" s="436"/>
      <c r="O124" s="436"/>
      <c r="P124" s="436"/>
      <c r="Q124" s="436"/>
      <c r="R124" s="436"/>
      <c r="S124" s="436"/>
      <c r="T124" s="455"/>
      <c r="U124" s="5" t="str">
        <f>VLOOKUP(B:B,'[4]合计'!$B:$C,2,0)</f>
        <v>贫困</v>
      </c>
      <c r="V124" s="5" t="str">
        <f>VLOOKUP(B:B,'[4]合计'!$B:$L,11,FALSE)</f>
        <v>省级</v>
      </c>
    </row>
    <row r="125" ht="18" customHeight="1">
      <c r="A125" s="85">
        <v>96</v>
      </c>
      <c r="B125" s="86" t="s">
        <v>188</v>
      </c>
      <c r="C125" s="436">
        <f t="shared" si="2887"/>
        <v>202</v>
      </c>
      <c r="D125" s="436">
        <f t="shared" si="2888"/>
        <v>202</v>
      </c>
      <c r="E125" s="436">
        <f t="shared" si="2889"/>
        <v>-22</v>
      </c>
      <c r="F125" s="436">
        <f>VLOOKUP(B125,'[5]测算分配表'!$B:$P,15,0)</f>
        <v>224</v>
      </c>
      <c r="G125" s="435">
        <f>VLOOKUP(B125,'[5]测算分配表'!$B:$H,7,0)</f>
        <v>223.72026500990299</v>
      </c>
      <c r="H125" s="435">
        <f>VLOOKUP(B125,'[5]测算分配表'!$B:$J,9,0)</f>
        <v>0</v>
      </c>
      <c r="I125" s="435">
        <f>VLOOKUP(B125,'[5]测算分配表'!$B:$K,10,0)</f>
        <v>0</v>
      </c>
      <c r="J125" s="436">
        <f>VLOOKUP(B125,'[5]测算分配表'!$B:$L,11,0)</f>
        <v>0</v>
      </c>
      <c r="K125" s="453">
        <f>VLOOKUP(B125,'[5]测算分配表'!$B:$N,13,0)</f>
        <v>0</v>
      </c>
      <c r="L125" s="436"/>
      <c r="M125" s="436"/>
      <c r="N125" s="436"/>
      <c r="O125" s="436"/>
      <c r="P125" s="436"/>
      <c r="Q125" s="436"/>
      <c r="R125" s="436"/>
      <c r="S125" s="436"/>
      <c r="T125" s="455"/>
      <c r="U125" s="5" t="str">
        <f>VLOOKUP(B:B,'[4]合计'!$B:$C,2,0)</f>
        <v>贫困</v>
      </c>
      <c r="V125" s="5" t="str">
        <f>VLOOKUP(B:B,'[4]合计'!$B:$L,11,FALSE)</f>
        <v>省级</v>
      </c>
    </row>
    <row r="126" s="5" customFormat="1" ht="18" customHeight="1">
      <c r="A126" s="85">
        <v>97</v>
      </c>
      <c r="B126" s="86" t="s">
        <v>189</v>
      </c>
      <c r="C126" s="436">
        <f t="shared" si="2887"/>
        <v>248</v>
      </c>
      <c r="D126" s="436">
        <f t="shared" si="2888"/>
        <v>248</v>
      </c>
      <c r="E126" s="436">
        <f t="shared" si="2889"/>
        <v>-28</v>
      </c>
      <c r="F126" s="436">
        <f>VLOOKUP(B126,'[5]测算分配表'!$B:$P,15,0)</f>
        <v>276</v>
      </c>
      <c r="G126" s="435">
        <f>VLOOKUP(B126,'[5]测算分配表'!$B:$H,7,0)</f>
        <v>0</v>
      </c>
      <c r="H126" s="435">
        <f>VLOOKUP(B126,'[5]测算分配表'!$B:$J,9,0)</f>
        <v>200</v>
      </c>
      <c r="I126" s="435">
        <f>VLOOKUP(B126,'[5]测算分配表'!$B:$K,10,0)</f>
        <v>0</v>
      </c>
      <c r="J126" s="436">
        <f>VLOOKUP(B126,'[5]测算分配表'!$B:$L,11,0)</f>
        <v>-150</v>
      </c>
      <c r="K126" s="453">
        <f>VLOOKUP(B126,'[5]测算分配表'!$B:$N,13,0)</f>
        <v>226.170886357227</v>
      </c>
      <c r="L126" s="436"/>
      <c r="M126" s="436"/>
      <c r="N126" s="436"/>
      <c r="O126" s="436"/>
      <c r="P126" s="436"/>
      <c r="Q126" s="436"/>
      <c r="R126" s="436"/>
      <c r="S126" s="436"/>
      <c r="T126" s="455"/>
      <c r="U126" s="5" t="str">
        <f>VLOOKUP(B:B,'[4]合计'!$B:$C,2,0)</f>
        <v>贫困</v>
      </c>
      <c r="V126" s="5">
        <f>VLOOKUP(B:B,'[4]合计'!$B:$L,11,FALSE)</f>
        <v>0</v>
      </c>
    </row>
    <row r="127" s="10" customFormat="1" ht="18" customHeight="1">
      <c r="A127" s="427"/>
      <c r="B127" s="431" t="s">
        <v>190</v>
      </c>
      <c r="C127" s="432">
        <f t="shared" ref="C127:I127" si="2890">SUM(C128:C132)</f>
        <v>772</v>
      </c>
      <c r="D127" s="432">
        <f t="shared" si="2890"/>
        <v>772</v>
      </c>
      <c r="E127" s="432">
        <f t="shared" si="2890"/>
        <v>0</v>
      </c>
      <c r="F127" s="432">
        <f t="shared" si="2890"/>
        <v>772</v>
      </c>
      <c r="G127" s="433">
        <f t="shared" si="2890"/>
        <v>344.147877203728</v>
      </c>
      <c r="H127" s="433">
        <f t="shared" si="2890"/>
        <v>400</v>
      </c>
      <c r="I127" s="433">
        <f t="shared" si="2890"/>
        <v>0</v>
      </c>
      <c r="J127" s="432">
        <f t="shared" ref="J127:S127" si="2891">SUM(J128:J132)</f>
        <v>-100</v>
      </c>
      <c r="K127" s="450">
        <f t="shared" si="2891"/>
        <v>128.15713676484901</v>
      </c>
      <c r="L127" s="432">
        <f t="shared" si="2891"/>
        <v>0</v>
      </c>
      <c r="M127" s="432">
        <f t="shared" si="2891"/>
        <v>0</v>
      </c>
      <c r="N127" s="432">
        <f t="shared" si="2891"/>
        <v>0</v>
      </c>
      <c r="O127" s="432">
        <f t="shared" si="2891"/>
        <v>0</v>
      </c>
      <c r="P127" s="432">
        <f t="shared" si="2891"/>
        <v>0</v>
      </c>
      <c r="Q127" s="432">
        <f t="shared" si="2891"/>
        <v>0</v>
      </c>
      <c r="R127" s="432">
        <f t="shared" si="2891"/>
        <v>0</v>
      </c>
      <c r="S127" s="432">
        <f t="shared" si="2891"/>
        <v>0</v>
      </c>
      <c r="T127" s="14"/>
      <c r="U127" s="5">
        <f>VLOOKUP(B:B,'[4]合计'!$B:$C,2,0)</f>
        <v>0</v>
      </c>
      <c r="V127" s="5">
        <f>VLOOKUP(B:B,'[4]合计'!$B:$L,11,FALSE)</f>
        <v>0</v>
      </c>
    </row>
    <row r="128" s="10" customFormat="1" ht="18" customHeight="1">
      <c r="A128" s="434">
        <v>1111</v>
      </c>
      <c r="B128" s="452" t="s">
        <v>191</v>
      </c>
      <c r="C128" s="436">
        <f t="shared" ref="C128:C133" si="2892">D128+M128+S128</f>
        <v>0</v>
      </c>
      <c r="D128" s="436">
        <f t="shared" ref="D128:D133" si="2893">E128+F128</f>
        <v>0</v>
      </c>
      <c r="E128" s="436"/>
      <c r="F128" s="436">
        <f>VLOOKUP(B128,[5]测算分配表!$B:$P,15,0)</f>
        <v>0</v>
      </c>
      <c r="G128" s="435">
        <f>VLOOKUP(B128,[5]测算分配表!$B:$H,7,0)</f>
        <v>0</v>
      </c>
      <c r="H128" s="435">
        <f>VLOOKUP(B128,[5]测算分配表!$B:$J,9,0)</f>
        <v>0</v>
      </c>
      <c r="I128" s="435">
        <f>VLOOKUP(B128,[5]测算分配表!$B:$K,10,0)</f>
        <v>0</v>
      </c>
      <c r="J128" s="436">
        <f>VLOOKUP(B128,[5]测算分配表!$B:$L,11,0)</f>
        <v>0</v>
      </c>
      <c r="K128" s="453">
        <f>VLOOKUP(B128,[5]测算分配表!$B:$N,13,0)</f>
        <v>0</v>
      </c>
      <c r="L128" s="436"/>
      <c r="M128" s="436"/>
      <c r="N128" s="436"/>
      <c r="O128" s="436"/>
      <c r="P128" s="436"/>
      <c r="Q128" s="436"/>
      <c r="R128" s="436"/>
      <c r="S128" s="436"/>
      <c r="T128" s="14"/>
      <c r="U128" s="5">
        <f>VLOOKUP(B:B,'[4]合计'!$B:$C,2,0)</f>
        <v>0</v>
      </c>
      <c r="V128" s="5">
        <f>VLOOKUP(B:B,'[4]合计'!$B:$L,11,FALSE)</f>
        <v>0</v>
      </c>
    </row>
    <row r="129" ht="18" customHeight="1">
      <c r="A129" s="85">
        <v>98</v>
      </c>
      <c r="B129" s="86" t="s">
        <v>192</v>
      </c>
      <c r="C129" s="436">
        <f t="shared" si="2892"/>
        <v>200</v>
      </c>
      <c r="D129" s="436">
        <f t="shared" si="2893"/>
        <v>200</v>
      </c>
      <c r="E129" s="436"/>
      <c r="F129" s="436">
        <f>VLOOKUP(B129,'[5]测算分配表'!$B:$P,15,0)</f>
        <v>200</v>
      </c>
      <c r="G129" s="435">
        <f>VLOOKUP(B129,'[5]测算分配表'!$B:$H,7,0)</f>
        <v>0</v>
      </c>
      <c r="H129" s="435">
        <f>VLOOKUP(B129,'[5]测算分配表'!$B:$J,9,0)</f>
        <v>200</v>
      </c>
      <c r="I129" s="435">
        <f>VLOOKUP(B129,'[5]测算分配表'!$B:$K,10,0)</f>
        <v>0</v>
      </c>
      <c r="J129" s="436">
        <f>VLOOKUP(B129,'[5]测算分配表'!$B:$L,11,0)</f>
        <v>0</v>
      </c>
      <c r="K129" s="453">
        <f>VLOOKUP(B129,'[5]测算分配表'!$B:$N,13,0)</f>
        <v>0</v>
      </c>
      <c r="L129" s="436"/>
      <c r="M129" s="436"/>
      <c r="N129" s="436"/>
      <c r="O129" s="436"/>
      <c r="P129" s="436"/>
      <c r="Q129" s="436"/>
      <c r="R129" s="436"/>
      <c r="S129" s="436"/>
      <c r="T129" s="455"/>
      <c r="U129" s="5" t="str">
        <f>VLOOKUP(B:B,'[4]合计'!$B:$C,2,0)</f>
        <v>贫困</v>
      </c>
      <c r="V129" s="5">
        <f>VLOOKUP(B:B,'[4]合计'!$B:$L,11,FALSE)</f>
        <v>0</v>
      </c>
    </row>
    <row r="130" ht="18" customHeight="1">
      <c r="A130" s="85">
        <v>99</v>
      </c>
      <c r="B130" s="86" t="s">
        <v>193</v>
      </c>
      <c r="C130" s="436">
        <f t="shared" si="2892"/>
        <v>0</v>
      </c>
      <c r="D130" s="436">
        <f t="shared" si="2893"/>
        <v>0</v>
      </c>
      <c r="E130" s="436"/>
      <c r="F130" s="436">
        <f>VLOOKUP(B130,'[5]测算分配表'!$B:$P,15,0)</f>
        <v>0</v>
      </c>
      <c r="G130" s="435">
        <f>VLOOKUP(B130,'[5]测算分配表'!$B:$H,7,0)</f>
        <v>0</v>
      </c>
      <c r="H130" s="435">
        <f>VLOOKUP(B130,'[5]测算分配表'!$B:$J,9,0)</f>
        <v>0</v>
      </c>
      <c r="I130" s="435">
        <f>VLOOKUP(B130,'[5]测算分配表'!$B:$K,10,0)</f>
        <v>0</v>
      </c>
      <c r="J130" s="436">
        <f>VLOOKUP(B130,'[5]测算分配表'!$B:$L,11,0)</f>
        <v>0</v>
      </c>
      <c r="K130" s="453">
        <f>VLOOKUP(B130,'[5]测算分配表'!$B:$N,13,0)</f>
        <v>0</v>
      </c>
      <c r="L130" s="436"/>
      <c r="M130" s="436"/>
      <c r="N130" s="436"/>
      <c r="O130" s="436"/>
      <c r="P130" s="436"/>
      <c r="Q130" s="436"/>
      <c r="R130" s="436"/>
      <c r="S130" s="436"/>
      <c r="T130" s="455"/>
      <c r="U130" s="5" t="str">
        <f>VLOOKUP(B:B,'[4]合计'!$B:$C,2,0)</f>
        <v>贫困</v>
      </c>
      <c r="V130" s="5" t="str">
        <f>VLOOKUP(B:B,'[4]合计'!$B:$L,11,FALSE)</f>
        <v>省级</v>
      </c>
    </row>
    <row r="131" ht="18" customHeight="1">
      <c r="A131" s="85">
        <v>100</v>
      </c>
      <c r="B131" s="86" t="s">
        <v>196</v>
      </c>
      <c r="C131" s="436">
        <f t="shared" si="2892"/>
        <v>494</v>
      </c>
      <c r="D131" s="436">
        <f t="shared" si="2893"/>
        <v>494</v>
      </c>
      <c r="E131" s="436"/>
      <c r="F131" s="436">
        <f>VLOOKUP(B131,'[5]测算分配表'!$B:$P,15,0)</f>
        <v>494</v>
      </c>
      <c r="G131" s="435">
        <f>VLOOKUP(B131,'[5]测算分配表'!$B:$H,7,0)</f>
        <v>344.147877203728</v>
      </c>
      <c r="H131" s="435">
        <f>VLOOKUP(B131,'[5]测算分配表'!$B:$J,9,0)</f>
        <v>200</v>
      </c>
      <c r="I131" s="435">
        <f>VLOOKUP(B131,'[5]测算分配表'!$B:$K,10,0)</f>
        <v>0</v>
      </c>
      <c r="J131" s="436">
        <f>VLOOKUP(B131,'[5]测算分配表'!$B:$L,11,0)</f>
        <v>-50</v>
      </c>
      <c r="K131" s="453">
        <f>VLOOKUP(B131,'[5]测算分配表'!$B:$N,13,0)</f>
        <v>0</v>
      </c>
      <c r="L131" s="436"/>
      <c r="M131" s="436"/>
      <c r="N131" s="436"/>
      <c r="O131" s="436"/>
      <c r="P131" s="436"/>
      <c r="Q131" s="436"/>
      <c r="R131" s="436"/>
      <c r="S131" s="436"/>
      <c r="T131" s="455"/>
      <c r="U131" s="5" t="str">
        <f>VLOOKUP(B:B,'[4]合计'!$B:$C,2,0)</f>
        <v>贫困</v>
      </c>
      <c r="V131" s="5">
        <f>VLOOKUP(B:B,'[4]合计'!$B:$L,11,FALSE)</f>
        <v>0</v>
      </c>
    </row>
    <row r="132" s="5" customFormat="1" ht="18" customHeight="1">
      <c r="A132" s="85">
        <v>101</v>
      </c>
      <c r="B132" s="86" t="s">
        <v>195</v>
      </c>
      <c r="C132" s="436">
        <f t="shared" si="2892"/>
        <v>78</v>
      </c>
      <c r="D132" s="436">
        <f t="shared" si="2893"/>
        <v>78</v>
      </c>
      <c r="E132" s="436"/>
      <c r="F132" s="436">
        <f>VLOOKUP(B132,'[5]测算分配表'!$B:$P,15,0)</f>
        <v>78</v>
      </c>
      <c r="G132" s="435">
        <f>VLOOKUP(B132,'[5]测算分配表'!$B:$H,7,0)</f>
        <v>0</v>
      </c>
      <c r="H132" s="435">
        <f>VLOOKUP(B132,'[5]测算分配表'!$B:$J,9,0)</f>
        <v>0</v>
      </c>
      <c r="I132" s="435">
        <f>VLOOKUP(B132,'[5]测算分配表'!$B:$K,10,0)</f>
        <v>0</v>
      </c>
      <c r="J132" s="436">
        <f>VLOOKUP(B132,'[5]测算分配表'!$B:$L,11,0)</f>
        <v>-50</v>
      </c>
      <c r="K132" s="453">
        <f>VLOOKUP(B132,'[5]测算分配表'!$B:$N,13,0)</f>
        <v>128.15713676484901</v>
      </c>
      <c r="L132" s="436"/>
      <c r="M132" s="436"/>
      <c r="N132" s="436"/>
      <c r="O132" s="436"/>
      <c r="P132" s="436"/>
      <c r="Q132" s="436"/>
      <c r="R132" s="436"/>
      <c r="S132" s="436"/>
      <c r="T132" s="455"/>
      <c r="U132" s="5" t="str">
        <f>VLOOKUP(B:B,'[4]合计'!$B:$C,2,0)</f>
        <v>贫困</v>
      </c>
      <c r="V132" s="5">
        <f>VLOOKUP(B:B,'[4]合计'!$B:$L,11,FALSE)</f>
        <v>0</v>
      </c>
    </row>
    <row r="133" ht="18" customHeight="1">
      <c r="A133" s="85">
        <v>222</v>
      </c>
      <c r="B133" s="456" t="s">
        <v>194</v>
      </c>
      <c r="C133" s="432">
        <f t="shared" si="2892"/>
        <v>117</v>
      </c>
      <c r="D133" s="432">
        <f t="shared" si="2893"/>
        <v>117</v>
      </c>
      <c r="E133" s="432"/>
      <c r="F133" s="436">
        <f>VLOOKUP(B133,'[5]测算分配表'!$B:$P,15,0)</f>
        <v>117</v>
      </c>
      <c r="G133" s="435">
        <f>VLOOKUP(B133,'[5]测算分配表'!$B:$H,7,0)</f>
        <v>0</v>
      </c>
      <c r="H133" s="435">
        <f>VLOOKUP(B133,'[5]测算分配表'!$B:$J,9,0)</f>
        <v>0</v>
      </c>
      <c r="I133" s="435">
        <f>VLOOKUP(B133,'[5]测算分配表'!$B:$K,10,0)</f>
        <v>0</v>
      </c>
      <c r="J133" s="436">
        <f>VLOOKUP(B133,'[5]测算分配表'!$B:$L,11,0)</f>
        <v>0</v>
      </c>
      <c r="K133" s="453">
        <f>VLOOKUP(B133,'[5]测算分配表'!$B:$N,13,0)</f>
        <v>117.136385983089</v>
      </c>
      <c r="L133" s="432"/>
      <c r="M133" s="432"/>
      <c r="N133" s="432"/>
      <c r="O133" s="432"/>
      <c r="P133" s="432"/>
      <c r="Q133" s="432"/>
      <c r="R133" s="432"/>
      <c r="S133" s="432"/>
      <c r="T133" s="14"/>
      <c r="U133" s="5" t="str">
        <f>VLOOKUP(B:B,'[4]合计'!$B:$C,2,0)</f>
        <v>非贫困县</v>
      </c>
      <c r="V133" s="5">
        <f>VLOOKUP(B:B,'[4]合计'!$B:$L,11,FALSE)</f>
        <v>0</v>
      </c>
    </row>
    <row r="134" s="10" customFormat="1" ht="18" customHeight="1">
      <c r="A134" s="427"/>
      <c r="B134" s="431" t="s">
        <v>197</v>
      </c>
      <c r="C134" s="432">
        <f t="shared" ref="C134:I134" si="2894">SUM(C135:C140)</f>
        <v>1350</v>
      </c>
      <c r="D134" s="432">
        <f t="shared" si="2894"/>
        <v>1350</v>
      </c>
      <c r="E134" s="432">
        <f t="shared" si="2894"/>
        <v>0</v>
      </c>
      <c r="F134" s="432">
        <f t="shared" si="2894"/>
        <v>1350</v>
      </c>
      <c r="G134" s="433">
        <f t="shared" si="2894"/>
        <v>900.82401256675598</v>
      </c>
      <c r="H134" s="433">
        <f t="shared" si="2894"/>
        <v>400</v>
      </c>
      <c r="I134" s="433">
        <f t="shared" si="2894"/>
        <v>100</v>
      </c>
      <c r="J134" s="432">
        <f t="shared" ref="J134:S134" si="2895">SUM(J135:J140)</f>
        <v>-50</v>
      </c>
      <c r="K134" s="450">
        <f t="shared" si="2895"/>
        <v>0</v>
      </c>
      <c r="L134" s="432">
        <f t="shared" si="2895"/>
        <v>0</v>
      </c>
      <c r="M134" s="432">
        <f t="shared" si="2895"/>
        <v>0</v>
      </c>
      <c r="N134" s="432">
        <f t="shared" si="2895"/>
        <v>0</v>
      </c>
      <c r="O134" s="432">
        <f t="shared" si="2895"/>
        <v>0</v>
      </c>
      <c r="P134" s="432">
        <f t="shared" si="2895"/>
        <v>0</v>
      </c>
      <c r="Q134" s="432">
        <f t="shared" si="2895"/>
        <v>0</v>
      </c>
      <c r="R134" s="432">
        <f t="shared" si="2895"/>
        <v>0</v>
      </c>
      <c r="S134" s="432">
        <f t="shared" si="2895"/>
        <v>0</v>
      </c>
      <c r="T134" s="14"/>
      <c r="U134" s="5">
        <f>VLOOKUP(B:B,'[4]合计'!$B:$C,2,0)</f>
        <v>0</v>
      </c>
      <c r="V134" s="5">
        <f>VLOOKUP(B:B,'[4]合计'!$B:$L,11,FALSE)</f>
        <v>0</v>
      </c>
    </row>
    <row r="135" s="10" customFormat="1" ht="18" customHeight="1">
      <c r="A135" s="434">
        <v>1111</v>
      </c>
      <c r="B135" s="452" t="s">
        <v>198</v>
      </c>
      <c r="C135" s="436">
        <f t="shared" ref="C135:C140" si="2896">D135+M135+S135</f>
        <v>100</v>
      </c>
      <c r="D135" s="436">
        <f t="shared" ref="D135:D140" si="2897">E135+F135</f>
        <v>100</v>
      </c>
      <c r="E135" s="436"/>
      <c r="F135" s="436">
        <f>VLOOKUP(B135,[5]测算分配表!$B:$P,15,0)</f>
        <v>100</v>
      </c>
      <c r="G135" s="435">
        <f>VLOOKUP(B135,[5]测算分配表!$B:$H,7,0)</f>
        <v>0</v>
      </c>
      <c r="H135" s="435">
        <f>VLOOKUP(B135,[5]测算分配表!$B:$J,9,0)</f>
        <v>0</v>
      </c>
      <c r="I135" s="435">
        <f>VLOOKUP(B135,[5]测算分配表!$B:$K,10,0)</f>
        <v>100</v>
      </c>
      <c r="J135" s="436">
        <f>VLOOKUP(B135,[5]测算分配表!$B:$L,11,0)</f>
        <v>0</v>
      </c>
      <c r="K135" s="453">
        <f>VLOOKUP(B135,[5]测算分配表!$B:$N,13,0)</f>
        <v>0</v>
      </c>
      <c r="L135" s="436"/>
      <c r="M135" s="436"/>
      <c r="N135" s="436"/>
      <c r="O135" s="436"/>
      <c r="P135" s="436"/>
      <c r="Q135" s="436"/>
      <c r="R135" s="436"/>
      <c r="S135" s="436"/>
      <c r="T135" s="14"/>
      <c r="U135" s="5">
        <f>VLOOKUP(B:B,'[4]合计'!$B:$C,2,0)</f>
        <v>0</v>
      </c>
      <c r="V135" s="5">
        <f>VLOOKUP(B:B,'[4]合计'!$B:$L,11,FALSE)</f>
        <v>0</v>
      </c>
    </row>
    <row r="136" ht="18" customHeight="1">
      <c r="A136" s="85">
        <v>102</v>
      </c>
      <c r="B136" s="86" t="s">
        <v>200</v>
      </c>
      <c r="C136" s="436">
        <f t="shared" si="2896"/>
        <v>200</v>
      </c>
      <c r="D136" s="436">
        <f t="shared" si="2897"/>
        <v>200</v>
      </c>
      <c r="E136" s="436"/>
      <c r="F136" s="436">
        <f>VLOOKUP(B136,'[5]测算分配表'!$B:$P,15,0)</f>
        <v>200</v>
      </c>
      <c r="G136" s="435">
        <f>VLOOKUP(B136,'[5]测算分配表'!$B:$H,7,0)</f>
        <v>0</v>
      </c>
      <c r="H136" s="435">
        <f>VLOOKUP(B136,'[5]测算分配表'!$B:$J,9,0)</f>
        <v>200</v>
      </c>
      <c r="I136" s="435">
        <f>VLOOKUP(B136,'[5]测算分配表'!$B:$K,10,0)</f>
        <v>0</v>
      </c>
      <c r="J136" s="436">
        <f>VLOOKUP(B136,'[5]测算分配表'!$B:$L,11,0)</f>
        <v>0</v>
      </c>
      <c r="K136" s="453">
        <f>VLOOKUP(B136,'[5]测算分配表'!$B:$N,13,0)</f>
        <v>0</v>
      </c>
      <c r="L136" s="436"/>
      <c r="M136" s="436"/>
      <c r="N136" s="436"/>
      <c r="O136" s="436"/>
      <c r="P136" s="436"/>
      <c r="Q136" s="436"/>
      <c r="R136" s="436"/>
      <c r="S136" s="436"/>
      <c r="T136" s="455"/>
      <c r="U136" s="5" t="str">
        <f>VLOOKUP(B:B,'[4]合计'!$B:$C,2,0)</f>
        <v>贫困</v>
      </c>
      <c r="V136" s="5">
        <f>VLOOKUP(B:B,'[4]合计'!$B:$L,11,FALSE)</f>
        <v>0</v>
      </c>
    </row>
    <row r="137" ht="18" customHeight="1">
      <c r="A137" s="85">
        <v>103</v>
      </c>
      <c r="B137" s="86" t="s">
        <v>201</v>
      </c>
      <c r="C137" s="436">
        <f t="shared" si="2896"/>
        <v>448</v>
      </c>
      <c r="D137" s="436">
        <f t="shared" si="2897"/>
        <v>448</v>
      </c>
      <c r="E137" s="436"/>
      <c r="F137" s="436">
        <f>VLOOKUP(B137,'[5]测算分配表'!$B:$P,15,0)</f>
        <v>448</v>
      </c>
      <c r="G137" s="435">
        <f>VLOOKUP(B137,'[5]测算分配表'!$B:$H,7,0)</f>
        <v>248.39818586607899</v>
      </c>
      <c r="H137" s="435">
        <f>VLOOKUP(B137,'[5]测算分配表'!$B:$J,9,0)</f>
        <v>200</v>
      </c>
      <c r="I137" s="435">
        <f>VLOOKUP(B137,'[5]测算分配表'!$B:$K,10,0)</f>
        <v>0</v>
      </c>
      <c r="J137" s="436">
        <f>VLOOKUP(B137,'[5]测算分配表'!$B:$L,11,0)</f>
        <v>0</v>
      </c>
      <c r="K137" s="453">
        <f>VLOOKUP(B137,'[5]测算分配表'!$B:$N,13,0)</f>
        <v>0</v>
      </c>
      <c r="L137" s="436"/>
      <c r="M137" s="436"/>
      <c r="N137" s="436"/>
      <c r="O137" s="436"/>
      <c r="P137" s="436"/>
      <c r="Q137" s="436"/>
      <c r="R137" s="436"/>
      <c r="S137" s="436"/>
      <c r="T137" s="455"/>
      <c r="U137" s="5" t="str">
        <f>VLOOKUP(B:B,'[4]合计'!$B:$C,2,0)</f>
        <v>贫困</v>
      </c>
      <c r="V137" s="5" t="str">
        <f>VLOOKUP(B:B,'[4]合计'!$B:$L,11,FALSE)</f>
        <v>省级</v>
      </c>
    </row>
    <row r="138" ht="18" customHeight="1">
      <c r="A138" s="85">
        <v>104</v>
      </c>
      <c r="B138" s="86" t="s">
        <v>202</v>
      </c>
      <c r="C138" s="436">
        <f t="shared" si="2896"/>
        <v>261</v>
      </c>
      <c r="D138" s="436">
        <f t="shared" si="2897"/>
        <v>261</v>
      </c>
      <c r="E138" s="436"/>
      <c r="F138" s="436">
        <f>VLOOKUP(B138,'[5]测算分配表'!$B:$P,15,0)</f>
        <v>261</v>
      </c>
      <c r="G138" s="435">
        <f>VLOOKUP(B138,'[5]测算分配表'!$B:$H,7,0)</f>
        <v>260.70155720527401</v>
      </c>
      <c r="H138" s="435">
        <f>VLOOKUP(B138,'[5]测算分配表'!$B:$J,9,0)</f>
        <v>0</v>
      </c>
      <c r="I138" s="435">
        <f>VLOOKUP(B138,'[5]测算分配表'!$B:$K,10,0)</f>
        <v>0</v>
      </c>
      <c r="J138" s="436">
        <f>VLOOKUP(B138,'[5]测算分配表'!$B:$L,11,0)</f>
        <v>0</v>
      </c>
      <c r="K138" s="453">
        <f>VLOOKUP(B138,'[5]测算分配表'!$B:$N,13,0)</f>
        <v>0</v>
      </c>
      <c r="L138" s="436"/>
      <c r="M138" s="436"/>
      <c r="N138" s="436"/>
      <c r="O138" s="436"/>
      <c r="P138" s="436"/>
      <c r="Q138" s="436"/>
      <c r="R138" s="436"/>
      <c r="S138" s="436"/>
      <c r="T138" s="455"/>
      <c r="U138" s="5" t="str">
        <f>VLOOKUP(B:B,'[4]合计'!$B:$C,2,0)</f>
        <v>贫困</v>
      </c>
      <c r="V138" s="5" t="str">
        <f>VLOOKUP(B:B,'[4]合计'!$B:$L,11,FALSE)</f>
        <v>省级</v>
      </c>
    </row>
    <row r="139" ht="18" customHeight="1">
      <c r="A139" s="85">
        <v>105</v>
      </c>
      <c r="B139" s="86" t="s">
        <v>203</v>
      </c>
      <c r="C139" s="436">
        <f t="shared" si="2896"/>
        <v>184</v>
      </c>
      <c r="D139" s="436">
        <f t="shared" si="2897"/>
        <v>184</v>
      </c>
      <c r="E139" s="436"/>
      <c r="F139" s="436">
        <f>VLOOKUP(B139,'[5]测算分配表'!$B:$P,15,0)</f>
        <v>184</v>
      </c>
      <c r="G139" s="435">
        <f>VLOOKUP(B139,'[5]测算分配表'!$B:$H,7,0)</f>
        <v>234.24136482554599</v>
      </c>
      <c r="H139" s="435">
        <f>VLOOKUP(B139,'[5]测算分配表'!$B:$J,9,0)</f>
        <v>0</v>
      </c>
      <c r="I139" s="435">
        <f>VLOOKUP(B139,'[5]测算分配表'!$B:$K,10,0)</f>
        <v>0</v>
      </c>
      <c r="J139" s="436">
        <f>VLOOKUP(B139,'[5]测算分配表'!$B:$L,11,0)</f>
        <v>-50</v>
      </c>
      <c r="K139" s="453">
        <f>VLOOKUP(B139,'[5]测算分配表'!$B:$N,13,0)</f>
        <v>0</v>
      </c>
      <c r="L139" s="436"/>
      <c r="M139" s="436"/>
      <c r="N139" s="436"/>
      <c r="O139" s="436"/>
      <c r="P139" s="436"/>
      <c r="Q139" s="436"/>
      <c r="R139" s="436"/>
      <c r="S139" s="436"/>
      <c r="T139" s="455"/>
      <c r="U139" s="5" t="str">
        <f>VLOOKUP(B:B,'[4]合计'!$B:$C,2,0)</f>
        <v>贫困</v>
      </c>
      <c r="V139" s="5" t="str">
        <f>VLOOKUP(B:B,'[4]合计'!$B:$L,11,FALSE)</f>
        <v>省级</v>
      </c>
    </row>
    <row r="140" ht="21" customHeight="1">
      <c r="A140" s="85">
        <v>106</v>
      </c>
      <c r="B140" s="86" t="s">
        <v>199</v>
      </c>
      <c r="C140" s="436">
        <f t="shared" si="2896"/>
        <v>157</v>
      </c>
      <c r="D140" s="436">
        <f t="shared" si="2897"/>
        <v>157</v>
      </c>
      <c r="E140" s="436"/>
      <c r="F140" s="436">
        <f>VLOOKUP(B140,'[5]测算分配表'!$B:$P,15,0)</f>
        <v>157</v>
      </c>
      <c r="G140" s="435">
        <f>VLOOKUP(B140,'[5]测算分配表'!$B:$H,7,0)</f>
        <v>157.48290466985699</v>
      </c>
      <c r="H140" s="435">
        <f>VLOOKUP(B140,'[5]测算分配表'!$B:$J,9,0)</f>
        <v>0</v>
      </c>
      <c r="I140" s="435">
        <f>VLOOKUP(B140,'[5]测算分配表'!$B:$K,10,0)</f>
        <v>0</v>
      </c>
      <c r="J140" s="436">
        <f>VLOOKUP(B140,'[5]测算分配表'!$B:$L,11,0)</f>
        <v>0</v>
      </c>
      <c r="K140" s="453">
        <f>VLOOKUP(B140,'[5]测算分配表'!$B:$N,13,0)</f>
        <v>0</v>
      </c>
      <c r="L140" s="436"/>
      <c r="M140" s="436"/>
      <c r="N140" s="436"/>
      <c r="O140" s="436"/>
      <c r="P140" s="436"/>
      <c r="Q140" s="436"/>
      <c r="R140" s="436"/>
      <c r="S140" s="436"/>
      <c r="T140" s="455"/>
      <c r="U140" s="5" t="str">
        <f>VLOOKUP(B:B,'[4]合计'!$B:$C,2,0)</f>
        <v>非贫困县</v>
      </c>
      <c r="V140" s="5">
        <f>VLOOKUP(B:B,'[4]合计'!$B:$L,11,FALSE)</f>
        <v>0</v>
      </c>
    </row>
    <row r="141" s="10" customFormat="1" ht="18" customHeight="1">
      <c r="A141" s="427"/>
      <c r="B141" s="431" t="s">
        <v>204</v>
      </c>
      <c r="C141" s="432">
        <f t="shared" ref="C141:I141" si="2898">SUM(C142:C147)</f>
        <v>2757</v>
      </c>
      <c r="D141" s="432">
        <f t="shared" si="2898"/>
        <v>2757</v>
      </c>
      <c r="E141" s="432">
        <f t="shared" si="2898"/>
        <v>0</v>
      </c>
      <c r="F141" s="432">
        <f t="shared" si="2898"/>
        <v>2757</v>
      </c>
      <c r="G141" s="433">
        <f t="shared" si="2898"/>
        <v>1389.66616614227</v>
      </c>
      <c r="H141" s="433">
        <f t="shared" si="2898"/>
        <v>300</v>
      </c>
      <c r="I141" s="433">
        <f t="shared" si="2898"/>
        <v>0</v>
      </c>
      <c r="J141" s="432">
        <f t="shared" ref="J141:S141" si="2899">SUM(J142:J147)</f>
        <v>-150</v>
      </c>
      <c r="K141" s="450">
        <f t="shared" si="2899"/>
        <v>1217.8145986375901</v>
      </c>
      <c r="L141" s="432">
        <f t="shared" si="2899"/>
        <v>0</v>
      </c>
      <c r="M141" s="432">
        <f t="shared" si="2899"/>
        <v>0</v>
      </c>
      <c r="N141" s="432">
        <f t="shared" si="2899"/>
        <v>0</v>
      </c>
      <c r="O141" s="432">
        <f t="shared" si="2899"/>
        <v>0</v>
      </c>
      <c r="P141" s="432">
        <f t="shared" si="2899"/>
        <v>0</v>
      </c>
      <c r="Q141" s="432">
        <f t="shared" si="2899"/>
        <v>0</v>
      </c>
      <c r="R141" s="432">
        <f t="shared" si="2899"/>
        <v>0</v>
      </c>
      <c r="S141" s="432">
        <f t="shared" si="2899"/>
        <v>0</v>
      </c>
      <c r="T141" s="14"/>
      <c r="U141" s="5">
        <f>VLOOKUP(B:B,'[4]合计'!$B:$C,2,0)</f>
        <v>0</v>
      </c>
      <c r="V141" s="5">
        <f>VLOOKUP(B:B,'[4]合计'!$B:$L,11,FALSE)</f>
        <v>0</v>
      </c>
    </row>
    <row r="142" s="10" customFormat="1" ht="18" customHeight="1">
      <c r="A142" s="434">
        <v>1111</v>
      </c>
      <c r="B142" s="452" t="s">
        <v>205</v>
      </c>
      <c r="C142" s="436">
        <f t="shared" ref="C142:C147" si="2900">D142+M142+S142</f>
        <v>0</v>
      </c>
      <c r="D142" s="436">
        <f t="shared" ref="D142:D147" si="2901">E142+F142</f>
        <v>0</v>
      </c>
      <c r="E142" s="436"/>
      <c r="F142" s="436">
        <f>VLOOKUP(B142,[5]测算分配表!$B:$P,15,0)</f>
        <v>0</v>
      </c>
      <c r="G142" s="435">
        <f>VLOOKUP(B142,[5]测算分配表!$B:$H,7,0)</f>
        <v>0</v>
      </c>
      <c r="H142" s="435">
        <f>VLOOKUP(B142,[5]测算分配表!$B:$J,9,0)</f>
        <v>0</v>
      </c>
      <c r="I142" s="435">
        <f>VLOOKUP(B142,[5]测算分配表!$B:$K,10,0)</f>
        <v>0</v>
      </c>
      <c r="J142" s="436">
        <f>VLOOKUP(B142,[5]测算分配表!$B:$L,11,0)</f>
        <v>0</v>
      </c>
      <c r="K142" s="453">
        <f>VLOOKUP(B142,[5]测算分配表!$B:$N,13,0)</f>
        <v>0</v>
      </c>
      <c r="L142" s="436"/>
      <c r="M142" s="436"/>
      <c r="N142" s="436"/>
      <c r="O142" s="436"/>
      <c r="P142" s="436"/>
      <c r="Q142" s="436"/>
      <c r="R142" s="436"/>
      <c r="S142" s="436"/>
      <c r="T142" s="14"/>
      <c r="U142" s="5">
        <f>VLOOKUP(B:B,'[4]合计'!$B:$C,2,0)</f>
        <v>0</v>
      </c>
      <c r="V142" s="5">
        <f>VLOOKUP(B:B,'[4]合计'!$B:$L,11,FALSE)</f>
        <v>0</v>
      </c>
    </row>
    <row r="143" ht="18" customHeight="1">
      <c r="A143" s="85">
        <v>107</v>
      </c>
      <c r="B143" s="86" t="s">
        <v>206</v>
      </c>
      <c r="C143" s="436">
        <f t="shared" si="2900"/>
        <v>119</v>
      </c>
      <c r="D143" s="436">
        <f t="shared" si="2901"/>
        <v>119</v>
      </c>
      <c r="E143" s="436"/>
      <c r="F143" s="436">
        <f>VLOOKUP(B143,'[5]测算分配表'!$B:$P,15,0)</f>
        <v>119</v>
      </c>
      <c r="G143" s="435">
        <f>VLOOKUP(B143,'[5]测算分配表'!$B:$H,7,0)</f>
        <v>119.47299729450999</v>
      </c>
      <c r="H143" s="435">
        <f>VLOOKUP(B143,'[5]测算分配表'!$B:$J,9,0)</f>
        <v>0</v>
      </c>
      <c r="I143" s="435">
        <f>VLOOKUP(B143,'[5]测算分配表'!$B:$K,10,0)</f>
        <v>0</v>
      </c>
      <c r="J143" s="436">
        <f>VLOOKUP(B143,'[5]测算分配表'!$B:$L,11,0)</f>
        <v>0</v>
      </c>
      <c r="K143" s="453">
        <f>VLOOKUP(B143,'[5]测算分配表'!$B:$N,13,0)</f>
        <v>0</v>
      </c>
      <c r="L143" s="436"/>
      <c r="M143" s="436"/>
      <c r="N143" s="436"/>
      <c r="O143" s="436"/>
      <c r="P143" s="436"/>
      <c r="Q143" s="436"/>
      <c r="R143" s="436"/>
      <c r="S143" s="436"/>
      <c r="T143" s="455"/>
      <c r="U143" s="5" t="str">
        <f>VLOOKUP(B:B,'[4]合计'!$B:$C,2,0)</f>
        <v>非贫困县</v>
      </c>
      <c r="V143" s="5">
        <f>VLOOKUP(B:B,'[4]合计'!$B:$L,11,FALSE)</f>
        <v>0</v>
      </c>
    </row>
    <row r="144" ht="18" customHeight="1">
      <c r="A144" s="85">
        <v>108</v>
      </c>
      <c r="B144" s="86" t="s">
        <v>208</v>
      </c>
      <c r="C144" s="436">
        <f t="shared" si="2900"/>
        <v>749</v>
      </c>
      <c r="D144" s="436">
        <f t="shared" si="2901"/>
        <v>749</v>
      </c>
      <c r="E144" s="436"/>
      <c r="F144" s="436">
        <f>VLOOKUP(B144,'[5]测算分配表'!$B:$P,15,0)</f>
        <v>749</v>
      </c>
      <c r="G144" s="435">
        <f>VLOOKUP(B144,'[5]测算分配表'!$B:$H,7,0)</f>
        <v>335.736511432322</v>
      </c>
      <c r="H144" s="435">
        <f>VLOOKUP(B144,'[5]测算分配表'!$B:$J,9,0)</f>
        <v>200</v>
      </c>
      <c r="I144" s="435">
        <f>VLOOKUP(B144,'[5]测算分配表'!$B:$K,10,0)</f>
        <v>0</v>
      </c>
      <c r="J144" s="436">
        <f>VLOOKUP(B144,'[5]测算分配表'!$B:$L,11,0)</f>
        <v>0</v>
      </c>
      <c r="K144" s="453">
        <f>VLOOKUP(B144,'[5]测算分配表'!$B:$N,13,0)</f>
        <v>213.594483044225</v>
      </c>
      <c r="L144" s="436"/>
      <c r="M144" s="436"/>
      <c r="N144" s="436"/>
      <c r="O144" s="436"/>
      <c r="P144" s="436"/>
      <c r="Q144" s="436"/>
      <c r="R144" s="436"/>
      <c r="S144" s="436"/>
      <c r="T144" s="455"/>
      <c r="U144" s="5" t="str">
        <f>VLOOKUP(B:B,'[4]合计'!$B:$C,2,0)</f>
        <v>贫困</v>
      </c>
      <c r="V144" s="5" t="str">
        <f>VLOOKUP(B:B,'[4]合计'!$B:$L,11,FALSE)</f>
        <v>省级</v>
      </c>
    </row>
    <row r="145" ht="18" customHeight="1">
      <c r="A145" s="85">
        <v>109</v>
      </c>
      <c r="B145" s="86" t="s">
        <v>209</v>
      </c>
      <c r="C145" s="436">
        <f t="shared" si="2900"/>
        <v>1183</v>
      </c>
      <c r="D145" s="436">
        <f t="shared" si="2901"/>
        <v>1183</v>
      </c>
      <c r="E145" s="436"/>
      <c r="F145" s="436">
        <f>VLOOKUP(B145,'[5]测算分配表'!$B:$P,15,0)</f>
        <v>1183</v>
      </c>
      <c r="G145" s="435">
        <f>VLOOKUP(B145,'[5]测算分配表'!$B:$H,7,0)</f>
        <v>178.29138638990801</v>
      </c>
      <c r="H145" s="435">
        <f>VLOOKUP(B145,'[5]测算分配表'!$B:$J,9,0)</f>
        <v>100</v>
      </c>
      <c r="I145" s="435">
        <f>VLOOKUP(B145,'[5]测算分配表'!$B:$K,10,0)</f>
        <v>0</v>
      </c>
      <c r="J145" s="436">
        <f>VLOOKUP(B145,'[5]测算分配表'!$B:$L,11,0)</f>
        <v>-100</v>
      </c>
      <c r="K145" s="453">
        <f>VLOOKUP(B145,'[5]测算分配表'!$B:$N,13,0)</f>
        <v>1004.22011559336</v>
      </c>
      <c r="L145" s="436"/>
      <c r="M145" s="436"/>
      <c r="N145" s="436"/>
      <c r="O145" s="436"/>
      <c r="P145" s="436"/>
      <c r="Q145" s="436"/>
      <c r="R145" s="436"/>
      <c r="S145" s="436"/>
      <c r="T145" s="455"/>
      <c r="U145" s="5" t="str">
        <f>VLOOKUP(B:B,'[4]合计'!$B:$C,2,0)</f>
        <v>非贫困县</v>
      </c>
      <c r="V145" s="5">
        <f>VLOOKUP(B:B,'[4]合计'!$B:$L,11,FALSE)</f>
        <v>0</v>
      </c>
    </row>
    <row r="146" ht="18" customHeight="1">
      <c r="A146" s="85">
        <v>110</v>
      </c>
      <c r="B146" s="86" t="s">
        <v>210</v>
      </c>
      <c r="C146" s="436">
        <f t="shared" si="2900"/>
        <v>525</v>
      </c>
      <c r="D146" s="436">
        <f t="shared" si="2901"/>
        <v>525</v>
      </c>
      <c r="E146" s="436"/>
      <c r="F146" s="436">
        <f>VLOOKUP(B146,'[5]测算分配表'!$B:$P,15,0)</f>
        <v>525</v>
      </c>
      <c r="G146" s="435">
        <f>VLOOKUP(B146,'[5]测算分配表'!$B:$H,7,0)</f>
        <v>574.92386431099897</v>
      </c>
      <c r="H146" s="435">
        <f>VLOOKUP(B146,'[5]测算分配表'!$B:$J,9,0)</f>
        <v>0</v>
      </c>
      <c r="I146" s="435">
        <f>VLOOKUP(B146,'[5]测算分配表'!$B:$K,10,0)</f>
        <v>0</v>
      </c>
      <c r="J146" s="436">
        <f>VLOOKUP(B146,'[5]测算分配表'!$B:$L,11,0)</f>
        <v>-50</v>
      </c>
      <c r="K146" s="453">
        <f>VLOOKUP(B146,'[5]测算分配表'!$B:$N,13,0)</f>
        <v>0</v>
      </c>
      <c r="L146" s="436"/>
      <c r="M146" s="436"/>
      <c r="N146" s="436"/>
      <c r="O146" s="436"/>
      <c r="P146" s="436"/>
      <c r="Q146" s="436"/>
      <c r="R146" s="436"/>
      <c r="S146" s="436"/>
      <c r="T146" s="455"/>
      <c r="U146" s="5" t="str">
        <f>VLOOKUP(B:B,'[4]合计'!$B:$C,2,0)</f>
        <v>深度贫困</v>
      </c>
      <c r="V146" s="5" t="str">
        <f>VLOOKUP(B:B,'[4]合计'!$B:$L,11,FALSE)</f>
        <v>国家级</v>
      </c>
    </row>
    <row r="147" ht="18" customHeight="1">
      <c r="A147" s="434">
        <v>111</v>
      </c>
      <c r="B147" s="86" t="s">
        <v>207</v>
      </c>
      <c r="C147" s="436">
        <f t="shared" si="2900"/>
        <v>181</v>
      </c>
      <c r="D147" s="436">
        <f t="shared" si="2901"/>
        <v>181</v>
      </c>
      <c r="E147" s="436"/>
      <c r="F147" s="436">
        <f>VLOOKUP(B147,'[5]测算分配表'!$B:$P,15,0)</f>
        <v>181</v>
      </c>
      <c r="G147" s="435">
        <f>VLOOKUP(B147,'[5]测算分配表'!$B:$H,7,0)</f>
        <v>181.241406714536</v>
      </c>
      <c r="H147" s="435">
        <f>VLOOKUP(B147,'[5]测算分配表'!$B:$J,9,0)</f>
        <v>0</v>
      </c>
      <c r="I147" s="435">
        <f>VLOOKUP(B147,'[5]测算分配表'!$B:$K,10,0)</f>
        <v>0</v>
      </c>
      <c r="J147" s="436">
        <f>VLOOKUP(B147,'[5]测算分配表'!$B:$L,11,0)</f>
        <v>0</v>
      </c>
      <c r="K147" s="453">
        <f>VLOOKUP(B147,'[5]测算分配表'!$B:$N,13,0)</f>
        <v>0</v>
      </c>
      <c r="L147" s="436"/>
      <c r="M147" s="436"/>
      <c r="N147" s="436"/>
      <c r="O147" s="436"/>
      <c r="P147" s="436"/>
      <c r="Q147" s="436"/>
      <c r="R147" s="436"/>
      <c r="S147" s="436"/>
      <c r="T147" s="455"/>
      <c r="U147" s="5" t="str">
        <f>VLOOKUP(B:B,'[4]合计'!$B:$C,2,0)</f>
        <v>贫困</v>
      </c>
      <c r="V147" s="5">
        <f>VLOOKUP(B:B,'[4]合计'!$B:$L,11,FALSE)</f>
        <v>0</v>
      </c>
    </row>
    <row r="148" s="10" customFormat="1" ht="18" customHeight="1">
      <c r="A148" s="427"/>
      <c r="B148" s="431" t="s">
        <v>211</v>
      </c>
      <c r="C148" s="432">
        <f t="shared" ref="C148:I148" si="2902">SUM(C149:C153)</f>
        <v>16319.07</v>
      </c>
      <c r="D148" s="432">
        <f t="shared" si="2902"/>
        <v>16319.07</v>
      </c>
      <c r="E148" s="432">
        <f t="shared" si="2902"/>
        <v>0</v>
      </c>
      <c r="F148" s="432">
        <f t="shared" si="2902"/>
        <v>16319.07</v>
      </c>
      <c r="G148" s="433">
        <f t="shared" si="2902"/>
        <v>4222.0134968750299</v>
      </c>
      <c r="H148" s="433">
        <f t="shared" si="2902"/>
        <v>0</v>
      </c>
      <c r="I148" s="433">
        <f t="shared" si="2902"/>
        <v>0</v>
      </c>
      <c r="J148" s="432">
        <f t="shared" ref="J148:S148" si="2903">SUM(J149:J153)</f>
        <v>-50</v>
      </c>
      <c r="K148" s="450">
        <f t="shared" si="2903"/>
        <v>12147.99</v>
      </c>
      <c r="L148" s="432">
        <f t="shared" si="2903"/>
        <v>0</v>
      </c>
      <c r="M148" s="432">
        <f t="shared" si="2903"/>
        <v>0</v>
      </c>
      <c r="N148" s="432">
        <f t="shared" si="2903"/>
        <v>0</v>
      </c>
      <c r="O148" s="432">
        <f t="shared" si="2903"/>
        <v>0</v>
      </c>
      <c r="P148" s="432">
        <f t="shared" si="2903"/>
        <v>0</v>
      </c>
      <c r="Q148" s="432">
        <f t="shared" si="2903"/>
        <v>0</v>
      </c>
      <c r="R148" s="432">
        <f t="shared" si="2903"/>
        <v>0</v>
      </c>
      <c r="S148" s="432">
        <f t="shared" si="2903"/>
        <v>0</v>
      </c>
      <c r="T148" s="14"/>
      <c r="U148" s="5">
        <f>VLOOKUP(B:B,'[4]合计'!$B:$C,2,0)</f>
        <v>0</v>
      </c>
      <c r="V148" s="5">
        <f>VLOOKUP(B:B,'[4]合计'!$B:$L,11,FALSE)</f>
        <v>0</v>
      </c>
    </row>
    <row r="149" s="10" customFormat="1" ht="18" customHeight="1">
      <c r="A149" s="434">
        <v>1111</v>
      </c>
      <c r="B149" s="452" t="s">
        <v>212</v>
      </c>
      <c r="C149" s="436">
        <f t="shared" ref="C149:C153" si="2904">D149+M149+S149</f>
        <v>0</v>
      </c>
      <c r="D149" s="436">
        <f t="shared" ref="D149:D153" si="2905">E149+F149</f>
        <v>0</v>
      </c>
      <c r="E149" s="436"/>
      <c r="F149" s="436">
        <f>VLOOKUP(B149,[5]测算分配表!$B:$P,15,0)</f>
        <v>0</v>
      </c>
      <c r="G149" s="435">
        <f>VLOOKUP(B149,[5]测算分配表!$B:$H,7,0)</f>
        <v>0</v>
      </c>
      <c r="H149" s="435">
        <f>VLOOKUP(B149,[5]测算分配表!$B:$J,9,0)</f>
        <v>0</v>
      </c>
      <c r="I149" s="435">
        <f>VLOOKUP(B149,[5]测算分配表!$B:$K,10,0)</f>
        <v>0</v>
      </c>
      <c r="J149" s="436">
        <f>VLOOKUP(B149,[5]测算分配表!$B:$L,11,0)</f>
        <v>0</v>
      </c>
      <c r="K149" s="453">
        <f>VLOOKUP(B149,[5]测算分配表!$B:$N,13,0)</f>
        <v>0</v>
      </c>
      <c r="L149" s="436"/>
      <c r="M149" s="436"/>
      <c r="N149" s="436"/>
      <c r="O149" s="436"/>
      <c r="P149" s="436"/>
      <c r="Q149" s="436"/>
      <c r="R149" s="436"/>
      <c r="S149" s="436"/>
      <c r="T149" s="14"/>
      <c r="U149" s="5">
        <f>VLOOKUP(B:B,'[4]合计'!$B:$C,2,0)</f>
        <v>0</v>
      </c>
      <c r="V149" s="5">
        <f>VLOOKUP(B:B,'[4]合计'!$B:$L,11,FALSE)</f>
        <v>0</v>
      </c>
    </row>
    <row r="150" ht="18" customHeight="1">
      <c r="A150" s="85">
        <v>112</v>
      </c>
      <c r="B150" s="86" t="s">
        <v>216</v>
      </c>
      <c r="C150" s="436">
        <f t="shared" si="2904"/>
        <v>4019.0700000000002</v>
      </c>
      <c r="D150" s="436">
        <f t="shared" si="2905"/>
        <v>4019.0700000000002</v>
      </c>
      <c r="E150" s="436"/>
      <c r="F150" s="436">
        <f>VLOOKUP(B150,'[5]测算分配表'!$B:$P,15,0)</f>
        <v>4019.0700000000002</v>
      </c>
      <c r="G150" s="435">
        <f>VLOOKUP(B150,'[5]测算分配表 (补差前)'!$B:$H,7,0)</f>
        <v>1391.588982235</v>
      </c>
      <c r="H150" s="435">
        <f>VLOOKUP(B150,'[5]测算分配表'!$B:$J,9,0)</f>
        <v>0</v>
      </c>
      <c r="I150" s="435">
        <f>VLOOKUP(B150,'[5]测算分配表'!$B:$K,10,0)</f>
        <v>0</v>
      </c>
      <c r="J150" s="436">
        <f>VLOOKUP(B150,'[5]测算分配表 (补差前)'!$B:$L,11,0)</f>
        <v>-50</v>
      </c>
      <c r="K150" s="453">
        <v>2678.4099999999999</v>
      </c>
      <c r="L150" s="436"/>
      <c r="M150" s="436"/>
      <c r="N150" s="436"/>
      <c r="O150" s="436"/>
      <c r="P150" s="436"/>
      <c r="Q150" s="436"/>
      <c r="R150" s="436"/>
      <c r="S150" s="436"/>
      <c r="T150" s="455"/>
      <c r="U150" s="5" t="str">
        <f>VLOOKUP(B:B,'[4]合计'!$B:$C,2,0)</f>
        <v>深度贫困</v>
      </c>
      <c r="V150" s="5" t="str">
        <f>VLOOKUP(B:B,'[4]合计'!$B:$L,11,FALSE)</f>
        <v>国家级</v>
      </c>
    </row>
    <row r="151" ht="18" customHeight="1">
      <c r="A151" s="85">
        <v>113</v>
      </c>
      <c r="B151" s="86" t="s">
        <v>214</v>
      </c>
      <c r="C151" s="436">
        <f t="shared" si="2904"/>
        <v>3894</v>
      </c>
      <c r="D151" s="436">
        <f t="shared" si="2905"/>
        <v>3894</v>
      </c>
      <c r="E151" s="436"/>
      <c r="F151" s="436">
        <f>VLOOKUP(B151,'[5]测算分配表'!$B:$P,15,0)</f>
        <v>3894</v>
      </c>
      <c r="G151" s="435">
        <f>#NAME?</f>
        <v>1050.5342594889501</v>
      </c>
      <c r="H151" s="435">
        <f>VLOOKUP(B151,'[5]测算分配表'!$B:$J,9,0)</f>
        <v>0</v>
      </c>
      <c r="I151" s="435">
        <f>VLOOKUP(B151,'[5]测算分配表'!$B:$K,10,0)</f>
        <v>0</v>
      </c>
      <c r="J151" s="436">
        <f>#NAME?</f>
        <v>0</v>
      </c>
      <c r="K151" s="453">
        <v>2843.4699999999998</v>
      </c>
      <c r="L151" s="436"/>
      <c r="M151" s="436"/>
      <c r="N151" s="436"/>
      <c r="O151" s="436"/>
      <c r="P151" s="436"/>
      <c r="Q151" s="436"/>
      <c r="R151" s="436"/>
      <c r="S151" s="436"/>
      <c r="T151" s="455"/>
      <c r="U151" s="5" t="str">
        <f>VLOOKUP(B:B,'[4]合计'!$B:$C,2,0)</f>
        <v>深度贫困</v>
      </c>
      <c r="V151" s="5" t="str">
        <f>VLOOKUP(B:B,'[4]合计'!$B:$L,11,FALSE)</f>
        <v>国家级</v>
      </c>
    </row>
    <row r="152" ht="18" customHeight="1">
      <c r="A152" s="85">
        <v>114</v>
      </c>
      <c r="B152" s="86" t="s">
        <v>215</v>
      </c>
      <c r="C152" s="436">
        <f t="shared" si="2904"/>
        <v>3427</v>
      </c>
      <c r="D152" s="436">
        <f t="shared" si="2905"/>
        <v>3427</v>
      </c>
      <c r="E152" s="436"/>
      <c r="F152" s="436">
        <f>VLOOKUP(B152,'[5]测算分配表'!$B:$P,15,0)</f>
        <v>3427</v>
      </c>
      <c r="G152" s="435">
        <f>#NAME?</f>
        <v>604.72273108058903</v>
      </c>
      <c r="H152" s="435">
        <f>VLOOKUP(B152,'[5]测算分配表'!$B:$J,9,0)</f>
        <v>0</v>
      </c>
      <c r="I152" s="435">
        <f>VLOOKUP(B152,'[5]测算分配表'!$B:$K,10,0)</f>
        <v>0</v>
      </c>
      <c r="J152" s="436">
        <f>#NAME?</f>
        <v>0</v>
      </c>
      <c r="K152" s="453">
        <v>2822.2800000000002</v>
      </c>
      <c r="L152" s="436"/>
      <c r="M152" s="436"/>
      <c r="N152" s="436"/>
      <c r="O152" s="436"/>
      <c r="P152" s="436"/>
      <c r="Q152" s="436"/>
      <c r="R152" s="436"/>
      <c r="S152" s="436"/>
      <c r="T152" s="455"/>
      <c r="U152" s="5" t="str">
        <f>VLOOKUP(B:B,'[4]合计'!$B:$C,2,0)</f>
        <v>深度贫困</v>
      </c>
      <c r="V152" s="5" t="str">
        <f>VLOOKUP(B:B,'[4]合计'!$B:$L,11,FALSE)</f>
        <v>国家级</v>
      </c>
    </row>
    <row r="153" ht="18" customHeight="1">
      <c r="A153" s="85">
        <v>115</v>
      </c>
      <c r="B153" s="86" t="s">
        <v>213</v>
      </c>
      <c r="C153" s="436">
        <f t="shared" si="2904"/>
        <v>4979</v>
      </c>
      <c r="D153" s="436">
        <f t="shared" si="2905"/>
        <v>4979</v>
      </c>
      <c r="E153" s="436"/>
      <c r="F153" s="436">
        <f>VLOOKUP(B153,'[5]测算分配表'!$B:$P,15,0)</f>
        <v>4979</v>
      </c>
      <c r="G153" s="435">
        <f>#NAME?</f>
        <v>1175.1675240704899</v>
      </c>
      <c r="H153" s="435">
        <f>VLOOKUP(B153,'[5]测算分配表'!$B:$J,9,0)</f>
        <v>0</v>
      </c>
      <c r="I153" s="435">
        <f>VLOOKUP(B153,'[5]测算分配表'!$B:$K,10,0)</f>
        <v>0</v>
      </c>
      <c r="J153" s="436">
        <f>#NAME?</f>
        <v>0</v>
      </c>
      <c r="K153" s="453">
        <v>3803.8299999999999</v>
      </c>
      <c r="L153" s="436"/>
      <c r="M153" s="436"/>
      <c r="N153" s="436"/>
      <c r="O153" s="436"/>
      <c r="P153" s="436"/>
      <c r="Q153" s="436"/>
      <c r="R153" s="436"/>
      <c r="S153" s="436"/>
      <c r="T153" s="455"/>
      <c r="U153" s="5" t="str">
        <f>VLOOKUP(B:B,'[4]合计'!$B:$C,2,0)</f>
        <v>深度贫困</v>
      </c>
      <c r="V153" s="5" t="str">
        <f>VLOOKUP(B:B,'[4]合计'!$B:$L,11,FALSE)</f>
        <v>国家级</v>
      </c>
    </row>
    <row r="154" s="10" customFormat="1" ht="18" customHeight="1">
      <c r="A154" s="427"/>
      <c r="B154" s="431" t="s">
        <v>217</v>
      </c>
      <c r="C154" s="432">
        <f t="shared" ref="C154:I154" si="2906">SUM(C155:C158)</f>
        <v>7051</v>
      </c>
      <c r="D154" s="432">
        <f t="shared" si="2906"/>
        <v>7051</v>
      </c>
      <c r="E154" s="432">
        <f t="shared" si="2906"/>
        <v>0</v>
      </c>
      <c r="F154" s="432">
        <f t="shared" si="2906"/>
        <v>7051</v>
      </c>
      <c r="G154" s="433">
        <f t="shared" si="2906"/>
        <v>1995.68696654158</v>
      </c>
      <c r="H154" s="433">
        <f t="shared" si="2906"/>
        <v>0</v>
      </c>
      <c r="I154" s="433">
        <f t="shared" si="2906"/>
        <v>0</v>
      </c>
      <c r="J154" s="432">
        <f t="shared" ref="J154:S154" si="2907">SUM(J155:J158)</f>
        <v>-200</v>
      </c>
      <c r="K154" s="450">
        <f t="shared" si="2907"/>
        <v>5254.9700000000003</v>
      </c>
      <c r="L154" s="432">
        <f t="shared" si="2907"/>
        <v>0</v>
      </c>
      <c r="M154" s="432">
        <f t="shared" si="2907"/>
        <v>0</v>
      </c>
      <c r="N154" s="432">
        <f t="shared" si="2907"/>
        <v>0</v>
      </c>
      <c r="O154" s="432">
        <f t="shared" si="2907"/>
        <v>0</v>
      </c>
      <c r="P154" s="432">
        <f t="shared" si="2907"/>
        <v>0</v>
      </c>
      <c r="Q154" s="432">
        <f t="shared" si="2907"/>
        <v>0</v>
      </c>
      <c r="R154" s="432">
        <f t="shared" si="2907"/>
        <v>0</v>
      </c>
      <c r="S154" s="432">
        <f t="shared" si="2907"/>
        <v>0</v>
      </c>
      <c r="T154" s="14"/>
      <c r="U154" s="5">
        <f>VLOOKUP(B:B,'[4]合计'!$B:$C,2,0)</f>
        <v>0</v>
      </c>
      <c r="V154" s="5">
        <f>VLOOKUP(B:B,'[4]合计'!$B:$L,11,FALSE)</f>
        <v>0</v>
      </c>
    </row>
    <row r="155" s="10" customFormat="1" ht="18" customHeight="1">
      <c r="A155" s="434">
        <v>1111</v>
      </c>
      <c r="B155" s="452" t="s">
        <v>218</v>
      </c>
      <c r="C155" s="436">
        <f t="shared" ref="C155:C158" si="2908">D155+M155+S155</f>
        <v>0</v>
      </c>
      <c r="D155" s="436">
        <f t="shared" ref="D155:D158" si="2909">E155+F155</f>
        <v>0</v>
      </c>
      <c r="E155" s="436"/>
      <c r="F155" s="436">
        <f>VLOOKUP(B155,[5]测算分配表!$B:$P,15,0)</f>
        <v>0</v>
      </c>
      <c r="G155" s="435">
        <f>VLOOKUP(B155,[5]测算分配表!$B:$H,7,0)</f>
        <v>0</v>
      </c>
      <c r="H155" s="435">
        <f>VLOOKUP(B155,[5]测算分配表!$B:$J,9,0)</f>
        <v>0</v>
      </c>
      <c r="I155" s="435">
        <f>VLOOKUP(B155,[5]测算分配表!$B:$K,10,0)</f>
        <v>0</v>
      </c>
      <c r="J155" s="436">
        <f>VLOOKUP(B155,[5]测算分配表!$B:$L,11,0)</f>
        <v>0</v>
      </c>
      <c r="K155" s="453">
        <f>VLOOKUP(B155,[5]测算分配表!$B:$N,13,0)</f>
        <v>0</v>
      </c>
      <c r="L155" s="436"/>
      <c r="M155" s="436"/>
      <c r="N155" s="436"/>
      <c r="O155" s="436"/>
      <c r="P155" s="436"/>
      <c r="Q155" s="436"/>
      <c r="R155" s="436"/>
      <c r="S155" s="436"/>
      <c r="T155" s="14"/>
      <c r="U155" s="5">
        <f>VLOOKUP(B:B,'[4]合计'!$B:$C,2,0)</f>
        <v>0</v>
      </c>
      <c r="V155" s="5">
        <f>VLOOKUP(B:B,'[4]合计'!$B:$L,11,FALSE)</f>
        <v>0</v>
      </c>
    </row>
    <row r="156" ht="18" customHeight="1">
      <c r="A156" s="85">
        <v>116</v>
      </c>
      <c r="B156" s="86" t="s">
        <v>219</v>
      </c>
      <c r="C156" s="436">
        <f t="shared" si="2908"/>
        <v>1974</v>
      </c>
      <c r="D156" s="436">
        <f t="shared" si="2909"/>
        <v>1974</v>
      </c>
      <c r="E156" s="436"/>
      <c r="F156" s="436">
        <f>VLOOKUP(B156,'[5]测算分配表'!$B:$P,15,0)</f>
        <v>1974</v>
      </c>
      <c r="G156" s="435">
        <f>VLOOKUP(B156,'[5]测算分配表 (补差前)'!$B:$H,7,0)</f>
        <v>632.49503645539505</v>
      </c>
      <c r="H156" s="435">
        <f>VLOOKUP(B156,'[5]测算分配表'!$B:$J,9,0)</f>
        <v>0</v>
      </c>
      <c r="I156" s="435">
        <f>VLOOKUP(B156,'[5]测算分配表'!$B:$K,10,0)</f>
        <v>0</v>
      </c>
      <c r="J156" s="436">
        <f>VLOOKUP(B156,'[5]测算分配表 (补差前)'!$B:$L,11,0)</f>
        <v>-50</v>
      </c>
      <c r="K156" s="453">
        <v>1391.5</v>
      </c>
      <c r="L156" s="436"/>
      <c r="M156" s="436"/>
      <c r="N156" s="436"/>
      <c r="O156" s="436"/>
      <c r="P156" s="436"/>
      <c r="Q156" s="436"/>
      <c r="R156" s="436"/>
      <c r="S156" s="436"/>
      <c r="T156" s="455"/>
      <c r="U156" s="5" t="str">
        <f>VLOOKUP(B:B,'[4]合计'!$B:$C,2,0)</f>
        <v>深度贫困</v>
      </c>
      <c r="V156" s="5" t="str">
        <f>VLOOKUP(B:B,'[4]合计'!$B:$L,11,FALSE)</f>
        <v>国家级</v>
      </c>
    </row>
    <row r="157" ht="18" customHeight="1">
      <c r="A157" s="85">
        <v>117</v>
      </c>
      <c r="B157" s="86" t="s">
        <v>221</v>
      </c>
      <c r="C157" s="436">
        <f t="shared" si="2908"/>
        <v>2702</v>
      </c>
      <c r="D157" s="436">
        <f t="shared" si="2909"/>
        <v>2702</v>
      </c>
      <c r="E157" s="436"/>
      <c r="F157" s="436">
        <f>VLOOKUP(B157,'[5]测算分配表'!$B:$P,15,0)</f>
        <v>2702</v>
      </c>
      <c r="G157" s="435">
        <f>#NAME?</f>
        <v>790.50621963355104</v>
      </c>
      <c r="H157" s="435">
        <f>VLOOKUP(B157,'[5]测算分配表'!$B:$J,9,0)</f>
        <v>0</v>
      </c>
      <c r="I157" s="435">
        <f>VLOOKUP(B157,'[5]测算分配表'!$B:$K,10,0)</f>
        <v>0</v>
      </c>
      <c r="J157" s="436">
        <f>#NAME?</f>
        <v>-100</v>
      </c>
      <c r="K157" s="453">
        <v>2011.49</v>
      </c>
      <c r="L157" s="436"/>
      <c r="M157" s="436"/>
      <c r="N157" s="436"/>
      <c r="O157" s="436"/>
      <c r="P157" s="436"/>
      <c r="Q157" s="436"/>
      <c r="R157" s="436"/>
      <c r="S157" s="436"/>
      <c r="T157" s="455"/>
      <c r="U157" s="5" t="str">
        <f>VLOOKUP(B:B,'[4]合计'!$B:$C,2,0)</f>
        <v>深度贫困</v>
      </c>
      <c r="V157" s="5" t="str">
        <f>VLOOKUP(B:B,'[4]合计'!$B:$L,11,FALSE)</f>
        <v>国家级</v>
      </c>
    </row>
    <row r="158" ht="18" customHeight="1">
      <c r="A158" s="85">
        <v>118</v>
      </c>
      <c r="B158" s="86" t="s">
        <v>220</v>
      </c>
      <c r="C158" s="436">
        <f t="shared" si="2908"/>
        <v>2375</v>
      </c>
      <c r="D158" s="436">
        <f t="shared" si="2909"/>
        <v>2375</v>
      </c>
      <c r="E158" s="436"/>
      <c r="F158" s="436">
        <f>VLOOKUP(B158,'[5]测算分配表'!$B:$P,15,0)</f>
        <v>2375</v>
      </c>
      <c r="G158" s="435">
        <f>#NAME?</f>
        <v>572.68571045263297</v>
      </c>
      <c r="H158" s="435">
        <f>VLOOKUP(B158,'[5]测算分配表'!$B:$J,9,0)</f>
        <v>0</v>
      </c>
      <c r="I158" s="435">
        <f>VLOOKUP(B158,'[5]测算分配表'!$B:$K,10,0)</f>
        <v>0</v>
      </c>
      <c r="J158" s="436">
        <f>#NAME?</f>
        <v>-50</v>
      </c>
      <c r="K158" s="453">
        <v>1851.98</v>
      </c>
      <c r="L158" s="436"/>
      <c r="M158" s="436"/>
      <c r="N158" s="436"/>
      <c r="O158" s="436"/>
      <c r="P158" s="436"/>
      <c r="Q158" s="436"/>
      <c r="R158" s="436"/>
      <c r="S158" s="436"/>
      <c r="T158" s="455"/>
      <c r="U158" s="5" t="str">
        <f>VLOOKUP(B:B,'[4]合计'!$B:$C,2,0)</f>
        <v>深度贫困</v>
      </c>
      <c r="V158" s="5" t="str">
        <f>VLOOKUP(B:B,'[4]合计'!$B:$L,11,FALSE)</f>
        <v>国家级</v>
      </c>
    </row>
    <row r="159" s="10" customFormat="1" ht="18" customHeight="1">
      <c r="A159" s="427"/>
      <c r="B159" s="431" t="s">
        <v>222</v>
      </c>
      <c r="C159" s="432">
        <f t="shared" ref="C159:I159" si="2910">SUM(C160:C168)</f>
        <v>2018</v>
      </c>
      <c r="D159" s="432">
        <f t="shared" si="2910"/>
        <v>2018</v>
      </c>
      <c r="E159" s="432">
        <f t="shared" si="2910"/>
        <v>0</v>
      </c>
      <c r="F159" s="432">
        <f t="shared" si="2910"/>
        <v>2018</v>
      </c>
      <c r="G159" s="433">
        <f t="shared" si="2910"/>
        <v>1918.15127940351</v>
      </c>
      <c r="H159" s="433">
        <f t="shared" si="2910"/>
        <v>200</v>
      </c>
      <c r="I159" s="433">
        <f t="shared" si="2910"/>
        <v>0</v>
      </c>
      <c r="J159" s="432">
        <f t="shared" ref="J159:S159" si="2911">SUM(J160:J168)</f>
        <v>-100</v>
      </c>
      <c r="K159" s="432">
        <f t="shared" si="2911"/>
        <v>0</v>
      </c>
      <c r="L159" s="432">
        <f t="shared" si="2911"/>
        <v>0</v>
      </c>
      <c r="M159" s="432">
        <f t="shared" si="2911"/>
        <v>0</v>
      </c>
      <c r="N159" s="432">
        <f t="shared" si="2911"/>
        <v>0</v>
      </c>
      <c r="O159" s="432">
        <f t="shared" si="2911"/>
        <v>0</v>
      </c>
      <c r="P159" s="432">
        <f t="shared" si="2911"/>
        <v>0</v>
      </c>
      <c r="Q159" s="432">
        <f t="shared" si="2911"/>
        <v>0</v>
      </c>
      <c r="R159" s="432">
        <f t="shared" si="2911"/>
        <v>0</v>
      </c>
      <c r="S159" s="432">
        <f t="shared" si="2911"/>
        <v>0</v>
      </c>
      <c r="T159" s="14"/>
      <c r="U159" s="5">
        <f>VLOOKUP(B:B,'[4]合计'!$B:$C,2,0)</f>
        <v>0</v>
      </c>
      <c r="V159" s="5">
        <f>VLOOKUP(B:B,'[4]合计'!$B:$L,11,FALSE)</f>
        <v>0</v>
      </c>
    </row>
    <row r="160" s="10" customFormat="1" ht="18" customHeight="1">
      <c r="A160" s="434">
        <v>1111</v>
      </c>
      <c r="B160" s="452" t="s">
        <v>223</v>
      </c>
      <c r="C160" s="436">
        <f t="shared" ref="C160:C168" si="2912">D160+M160+S160</f>
        <v>0</v>
      </c>
      <c r="D160" s="436">
        <f t="shared" ref="D160:D168" si="2913">E160+F160</f>
        <v>0</v>
      </c>
      <c r="E160" s="436"/>
      <c r="F160" s="436">
        <f>VLOOKUP(B160,[5]测算分配表!$B:$P,15,0)</f>
        <v>0</v>
      </c>
      <c r="G160" s="435">
        <f>VLOOKUP(B160,[5]测算分配表!$B:$H,7,0)</f>
        <v>0</v>
      </c>
      <c r="H160" s="435">
        <f>VLOOKUP(B160,[5]测算分配表!$B:$J,9,0)</f>
        <v>0</v>
      </c>
      <c r="I160" s="435">
        <f>VLOOKUP(B160,[5]测算分配表!$B:$K,10,0)</f>
        <v>0</v>
      </c>
      <c r="J160" s="436">
        <f>VLOOKUP(B160,[5]测算分配表!$B:$L,11,0)</f>
        <v>0</v>
      </c>
      <c r="K160" s="453">
        <f>VLOOKUP(B160,[5]测算分配表!$B:$N,13,0)</f>
        <v>0</v>
      </c>
      <c r="L160" s="436"/>
      <c r="M160" s="436"/>
      <c r="N160" s="436"/>
      <c r="O160" s="436"/>
      <c r="P160" s="436"/>
      <c r="Q160" s="436"/>
      <c r="R160" s="436"/>
      <c r="S160" s="436"/>
      <c r="T160" s="14"/>
      <c r="U160" s="5">
        <f>VLOOKUP(B:B,'[4]合计'!$B:$C,2,0)</f>
        <v>0</v>
      </c>
      <c r="V160" s="5">
        <f>VLOOKUP(B:B,'[4]合计'!$B:$L,11,FALSE)</f>
        <v>0</v>
      </c>
    </row>
    <row r="161" ht="18" customHeight="1">
      <c r="A161" s="85">
        <v>119</v>
      </c>
      <c r="B161" s="86" t="s">
        <v>225</v>
      </c>
      <c r="C161" s="436">
        <f t="shared" si="2912"/>
        <v>268</v>
      </c>
      <c r="D161" s="436">
        <f t="shared" si="2913"/>
        <v>268</v>
      </c>
      <c r="E161" s="436"/>
      <c r="F161" s="436">
        <f>VLOOKUP(B161,'[5]测算分配表'!$B:$P,15,0)</f>
        <v>268</v>
      </c>
      <c r="G161" s="435">
        <f>VLOOKUP(B161,'[5]测算分配表'!$B:$H,7,0)</f>
        <v>317.65880205038098</v>
      </c>
      <c r="H161" s="435">
        <f>VLOOKUP(B161,'[5]测算分配表'!$B:$J,9,0)</f>
        <v>0</v>
      </c>
      <c r="I161" s="435">
        <f>VLOOKUP(B161,'[5]测算分配表'!$B:$K,10,0)</f>
        <v>0</v>
      </c>
      <c r="J161" s="436">
        <f>VLOOKUP(B161,'[5]测算分配表'!$B:$L,11,0)</f>
        <v>-50</v>
      </c>
      <c r="K161" s="453">
        <f>VLOOKUP(B161,'[5]测算分配表'!$B:$N,13,0)</f>
        <v>0</v>
      </c>
      <c r="L161" s="436"/>
      <c r="M161" s="436"/>
      <c r="N161" s="436"/>
      <c r="O161" s="436"/>
      <c r="P161" s="436"/>
      <c r="Q161" s="436"/>
      <c r="R161" s="436"/>
      <c r="S161" s="436"/>
      <c r="T161" s="455"/>
      <c r="U161" s="5" t="str">
        <f>VLOOKUP(B:B,'[4]合计'!$B:$C,2,0)</f>
        <v>贫困</v>
      </c>
      <c r="V161" s="5" t="str">
        <f>VLOOKUP(B:B,'[4]合计'!$B:$L,11,FALSE)</f>
        <v>省级</v>
      </c>
    </row>
    <row r="162" ht="18" customHeight="1">
      <c r="A162" s="85">
        <v>120</v>
      </c>
      <c r="B162" s="86" t="s">
        <v>226</v>
      </c>
      <c r="C162" s="436">
        <f t="shared" si="2912"/>
        <v>268</v>
      </c>
      <c r="D162" s="436">
        <f t="shared" si="2913"/>
        <v>268</v>
      </c>
      <c r="E162" s="436"/>
      <c r="F162" s="436">
        <f>VLOOKUP(B162,'[5]测算分配表'!$B:$P,15,0)</f>
        <v>268</v>
      </c>
      <c r="G162" s="435">
        <f>VLOOKUP(B162,'[5]测算分配表'!$B:$H,7,0)</f>
        <v>268.07870926301001</v>
      </c>
      <c r="H162" s="435">
        <f>VLOOKUP(B162,'[5]测算分配表'!$B:$J,9,0)</f>
        <v>0</v>
      </c>
      <c r="I162" s="435">
        <f>VLOOKUP(B162,'[5]测算分配表'!$B:$K,10,0)</f>
        <v>0</v>
      </c>
      <c r="J162" s="436">
        <f>VLOOKUP(B162,'[5]测算分配表'!$B:$L,11,0)</f>
        <v>0</v>
      </c>
      <c r="K162" s="453">
        <f>VLOOKUP(B162,'[5]测算分配表'!$B:$N,13,0)</f>
        <v>0</v>
      </c>
      <c r="L162" s="436"/>
      <c r="M162" s="436"/>
      <c r="N162" s="436"/>
      <c r="O162" s="436"/>
      <c r="P162" s="436"/>
      <c r="Q162" s="436"/>
      <c r="R162" s="436"/>
      <c r="S162" s="436"/>
      <c r="T162" s="455"/>
      <c r="U162" s="5" t="str">
        <f>VLOOKUP(B:B,'[4]合计'!$B:$C,2,0)</f>
        <v>贫困</v>
      </c>
      <c r="V162" s="5">
        <f>VLOOKUP(B:B,'[4]合计'!$B:$L,11,FALSE)</f>
        <v>0</v>
      </c>
    </row>
    <row r="163" ht="18" customHeight="1">
      <c r="A163" s="85">
        <v>121</v>
      </c>
      <c r="B163" s="86" t="s">
        <v>224</v>
      </c>
      <c r="C163" s="436">
        <f t="shared" si="2912"/>
        <v>255</v>
      </c>
      <c r="D163" s="436">
        <f t="shared" si="2913"/>
        <v>255</v>
      </c>
      <c r="E163" s="436"/>
      <c r="F163" s="436">
        <f>VLOOKUP(B163,'[5]测算分配表'!$B:$P,15,0)</f>
        <v>255</v>
      </c>
      <c r="G163" s="435">
        <f>VLOOKUP(B163,'[5]测算分配表'!$B:$H,7,0)</f>
        <v>255.23935164407101</v>
      </c>
      <c r="H163" s="435">
        <f>VLOOKUP(B163,'[5]测算分配表'!$B:$J,9,0)</f>
        <v>0</v>
      </c>
      <c r="I163" s="435">
        <f>VLOOKUP(B163,'[5]测算分配表'!$B:$K,10,0)</f>
        <v>0</v>
      </c>
      <c r="J163" s="436">
        <f>VLOOKUP(B163,'[5]测算分配表'!$B:$L,11,0)</f>
        <v>0</v>
      </c>
      <c r="K163" s="453">
        <f>VLOOKUP(B163,'[5]测算分配表'!$B:$N,13,0)</f>
        <v>0</v>
      </c>
      <c r="L163" s="436"/>
      <c r="M163" s="436"/>
      <c r="N163" s="436"/>
      <c r="O163" s="436"/>
      <c r="P163" s="436"/>
      <c r="Q163" s="436"/>
      <c r="R163" s="436"/>
      <c r="S163" s="436"/>
      <c r="T163" s="455"/>
      <c r="U163" s="5" t="str">
        <f>VLOOKUP(B:B,'[4]合计'!$B:$C,2,0)</f>
        <v>贫困</v>
      </c>
      <c r="V163" s="5">
        <f>VLOOKUP(B:B,'[4]合计'!$B:$L,11,FALSE)</f>
        <v>0</v>
      </c>
    </row>
    <row r="164" ht="18" customHeight="1">
      <c r="A164" s="85">
        <v>122</v>
      </c>
      <c r="B164" s="86" t="s">
        <v>227</v>
      </c>
      <c r="C164" s="436">
        <f t="shared" si="2912"/>
        <v>272</v>
      </c>
      <c r="D164" s="436">
        <f t="shared" si="2913"/>
        <v>272</v>
      </c>
      <c r="E164" s="436"/>
      <c r="F164" s="436">
        <f>VLOOKUP(B164,'[5]测算分配表'!$B:$P,15,0)</f>
        <v>272</v>
      </c>
      <c r="G164" s="435">
        <f>VLOOKUP(B164,'[5]测算分配表'!$B:$H,7,0)</f>
        <v>272.01666187667303</v>
      </c>
      <c r="H164" s="435">
        <f>VLOOKUP(B164,'[5]测算分配表'!$B:$J,9,0)</f>
        <v>0</v>
      </c>
      <c r="I164" s="435">
        <f>VLOOKUP(B164,'[5]测算分配表'!$B:$K,10,0)</f>
        <v>0</v>
      </c>
      <c r="J164" s="436">
        <f>VLOOKUP(B164,'[5]测算分配表'!$B:$L,11,0)</f>
        <v>0</v>
      </c>
      <c r="K164" s="453">
        <f>VLOOKUP(B164,'[5]测算分配表'!$B:$N,13,0)</f>
        <v>0</v>
      </c>
      <c r="L164" s="436"/>
      <c r="M164" s="436"/>
      <c r="N164" s="436"/>
      <c r="O164" s="436"/>
      <c r="P164" s="436"/>
      <c r="Q164" s="436"/>
      <c r="R164" s="436"/>
      <c r="S164" s="436"/>
      <c r="T164" s="455"/>
      <c r="U164" s="5" t="str">
        <f>VLOOKUP(B:B,'[4]合计'!$B:$C,2,0)</f>
        <v>贫困</v>
      </c>
      <c r="V164" s="5" t="str">
        <f>VLOOKUP(B:B,'[4]合计'!$B:$L,11,FALSE)</f>
        <v>省级</v>
      </c>
    </row>
    <row r="165" s="5" customFormat="1" ht="30" customHeight="1">
      <c r="A165" s="85">
        <v>123</v>
      </c>
      <c r="B165" s="86" t="s">
        <v>228</v>
      </c>
      <c r="C165" s="436">
        <f t="shared" si="2912"/>
        <v>142</v>
      </c>
      <c r="D165" s="436">
        <f t="shared" si="2913"/>
        <v>142</v>
      </c>
      <c r="E165" s="436"/>
      <c r="F165" s="436">
        <f>VLOOKUP(B165,'[5]测算分配表'!$B:$P,15,0)</f>
        <v>142</v>
      </c>
      <c r="G165" s="435">
        <f>VLOOKUP(B165,'[5]测算分配表'!$B:$H,7,0)</f>
        <v>191.560096273906</v>
      </c>
      <c r="H165" s="435">
        <f>VLOOKUP(B165,'[5]测算分配表'!$B:$J,9,0)</f>
        <v>0</v>
      </c>
      <c r="I165" s="435">
        <f>VLOOKUP(B165,'[5]测算分配表'!$B:$K,10,0)</f>
        <v>0</v>
      </c>
      <c r="J165" s="436">
        <f>VLOOKUP(B165,'[5]测算分配表'!$B:$L,11,0)</f>
        <v>-50</v>
      </c>
      <c r="K165" s="453">
        <f>VLOOKUP(B165,'[5]测算分配表'!$B:$N,13,0)</f>
        <v>0</v>
      </c>
      <c r="L165" s="436"/>
      <c r="M165" s="436"/>
      <c r="N165" s="436"/>
      <c r="O165" s="436"/>
      <c r="P165" s="436"/>
      <c r="Q165" s="436"/>
      <c r="R165" s="436"/>
      <c r="S165" s="436"/>
      <c r="T165" s="455"/>
      <c r="U165" s="5" t="str">
        <f>VLOOKUP(B:B,'[4]合计'!$B:$C,2,0)</f>
        <v>贫困</v>
      </c>
      <c r="V165" s="5">
        <f>VLOOKUP(B:B,'[4]合计'!$B:$L,11,FALSE)</f>
        <v>0</v>
      </c>
    </row>
    <row r="166" ht="18" customHeight="1">
      <c r="A166" s="85">
        <v>124</v>
      </c>
      <c r="B166" s="86" t="s">
        <v>229</v>
      </c>
      <c r="C166" s="436">
        <f t="shared" si="2912"/>
        <v>361</v>
      </c>
      <c r="D166" s="436">
        <f t="shared" si="2913"/>
        <v>361</v>
      </c>
      <c r="E166" s="436"/>
      <c r="F166" s="436">
        <f>VLOOKUP(B166,'[5]测算分配表'!$B:$P,15,0)</f>
        <v>361</v>
      </c>
      <c r="G166" s="435">
        <f>VLOOKUP(B166,'[5]测算分配表'!$B:$H,7,0)</f>
        <v>160.97611084524701</v>
      </c>
      <c r="H166" s="435">
        <f>VLOOKUP(B166,'[5]测算分配表'!$B:$J,9,0)</f>
        <v>200</v>
      </c>
      <c r="I166" s="435">
        <f>VLOOKUP(B166,'[5]测算分配表'!$B:$K,10,0)</f>
        <v>0</v>
      </c>
      <c r="J166" s="436">
        <f>VLOOKUP(B166,'[5]测算分配表'!$B:$L,11,0)</f>
        <v>0</v>
      </c>
      <c r="K166" s="453">
        <f>VLOOKUP(B166,'[5]测算分配表'!$B:$N,13,0)</f>
        <v>0</v>
      </c>
      <c r="L166" s="436"/>
      <c r="M166" s="436"/>
      <c r="N166" s="436"/>
      <c r="O166" s="436"/>
      <c r="P166" s="436"/>
      <c r="Q166" s="436"/>
      <c r="R166" s="436"/>
      <c r="S166" s="436"/>
      <c r="T166" s="455"/>
      <c r="U166" s="5" t="str">
        <f>VLOOKUP(B:B,'[4]合计'!$B:$C,2,0)</f>
        <v>贫困</v>
      </c>
      <c r="V166" s="5">
        <f>VLOOKUP(B:B,'[4]合计'!$B:$L,11,FALSE)</f>
        <v>0</v>
      </c>
    </row>
    <row r="167" ht="18" customHeight="1">
      <c r="A167" s="85">
        <v>125</v>
      </c>
      <c r="B167" s="86" t="s">
        <v>230</v>
      </c>
      <c r="C167" s="436">
        <f t="shared" si="2912"/>
        <v>211</v>
      </c>
      <c r="D167" s="436">
        <f t="shared" si="2913"/>
        <v>211</v>
      </c>
      <c r="E167" s="436"/>
      <c r="F167" s="436">
        <f>VLOOKUP(B167,'[5]测算分配表'!$B:$P,15,0)</f>
        <v>211</v>
      </c>
      <c r="G167" s="435">
        <f>VLOOKUP(B167,'[5]测算分配表'!$B:$H,7,0)</f>
        <v>211.44552481541999</v>
      </c>
      <c r="H167" s="435">
        <f>VLOOKUP(B167,'[5]测算分配表'!$B:$J,9,0)</f>
        <v>0</v>
      </c>
      <c r="I167" s="435">
        <f>VLOOKUP(B167,'[5]测算分配表'!$B:$K,10,0)</f>
        <v>0</v>
      </c>
      <c r="J167" s="436">
        <f>VLOOKUP(B167,'[5]测算分配表'!$B:$L,11,0)</f>
        <v>0</v>
      </c>
      <c r="K167" s="453">
        <f>VLOOKUP(B167,'[5]测算分配表'!$B:$N,13,0)</f>
        <v>0</v>
      </c>
      <c r="L167" s="436"/>
      <c r="M167" s="436"/>
      <c r="N167" s="436"/>
      <c r="O167" s="436"/>
      <c r="P167" s="436"/>
      <c r="Q167" s="436"/>
      <c r="R167" s="436"/>
      <c r="S167" s="436"/>
      <c r="T167" s="455"/>
      <c r="U167" s="5" t="str">
        <f>VLOOKUP(B:B,'[4]合计'!$B:$C,2,0)</f>
        <v>贫困</v>
      </c>
      <c r="V167" s="5">
        <f>VLOOKUP(B:B,'[4]合计'!$B:$L,11,FALSE)</f>
        <v>0</v>
      </c>
    </row>
    <row r="168" ht="18" customHeight="1">
      <c r="A168" s="85">
        <v>126</v>
      </c>
      <c r="B168" s="86" t="s">
        <v>231</v>
      </c>
      <c r="C168" s="436">
        <f t="shared" si="2912"/>
        <v>241</v>
      </c>
      <c r="D168" s="436">
        <f t="shared" si="2913"/>
        <v>241</v>
      </c>
      <c r="E168" s="436"/>
      <c r="F168" s="436">
        <f>VLOOKUP(B168,'[5]测算分配表'!$B:$P,15,0)</f>
        <v>241</v>
      </c>
      <c r="G168" s="435">
        <f>VLOOKUP(B168,'[5]测算分配表'!$B:$H,7,0)</f>
        <v>241.176022634802</v>
      </c>
      <c r="H168" s="435">
        <f>VLOOKUP(B168,'[5]测算分配表'!$B:$J,9,0)</f>
        <v>0</v>
      </c>
      <c r="I168" s="435">
        <f>VLOOKUP(B168,'[5]测算分配表'!$B:$K,10,0)</f>
        <v>0</v>
      </c>
      <c r="J168" s="436">
        <f>VLOOKUP(B168,'[5]测算分配表'!$B:$L,11,0)</f>
        <v>0</v>
      </c>
      <c r="K168" s="453">
        <f>VLOOKUP(B168,'[5]测算分配表'!$B:$N,13,0)</f>
        <v>0</v>
      </c>
      <c r="L168" s="436"/>
      <c r="M168" s="436"/>
      <c r="N168" s="436"/>
      <c r="O168" s="436"/>
      <c r="P168" s="436"/>
      <c r="Q168" s="436"/>
      <c r="R168" s="436"/>
      <c r="S168" s="436"/>
      <c r="T168" s="455"/>
      <c r="U168" s="5" t="str">
        <f>VLOOKUP(B:B,'[4]合计'!$B:$C,2,0)</f>
        <v>贫困</v>
      </c>
      <c r="V168" s="5" t="str">
        <f>VLOOKUP(B:B,'[4]合计'!$B:$L,11,FALSE)</f>
        <v>省级</v>
      </c>
    </row>
    <row r="170">
      <c r="B170" s="438"/>
    </row>
  </sheetData>
  <autoFilter ref="A7:X168"/>
  <mergeCells count="11">
    <mergeCell ref="A2:T2"/>
    <mergeCell ref="D4:L4"/>
    <mergeCell ref="E5:L5"/>
    <mergeCell ref="A4:A6"/>
    <mergeCell ref="B4:B6"/>
    <mergeCell ref="C4:C6"/>
    <mergeCell ref="D5:D6"/>
    <mergeCell ref="P4:P6"/>
    <mergeCell ref="S4:S6"/>
    <mergeCell ref="T4:T6"/>
    <mergeCell ref="M4:O5"/>
  </mergeCells>
  <printOptions headings="0" gridLines="0"/>
  <pageMargins left="0.39305555555555605" right="0.27500000000000008" top="0.66874999999999984" bottom="0.62986111111111098" header="0" footer="0"/>
  <pageSetup paperSize="9" scale="100" fitToWidth="1" fitToHeight="0" pageOrder="overThenDown" orientation="landscape" usePrinterDefaults="1" blackAndWhite="0" draft="0" cellComments="none" useFirstPageNumber="0" errors="displayed" horizontalDpi="600" verticalDpi="600" copies="1"/>
  <headerFooter>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4" tint="0.59999999999999998"/>
    <outlinePr applyStyles="0" summaryBelow="1" summaryRight="1" showOutlineSymbols="1"/>
    <pageSetUpPr autoPageBreaks="1" fitToPage="0"/>
  </sheetPr>
  <sheetViews>
    <sheetView showZeros="0" zoomScale="100" workbookViewId="0">
      <selection activeCell="A92" activeCellId="0" sqref="90:92"/>
    </sheetView>
  </sheetViews>
  <sheetFormatPr defaultColWidth="9" defaultRowHeight="13.5"/>
  <cols>
    <col customWidth="1" min="1" max="1" style="1" width="5"/>
    <col customWidth="1" min="2" max="2" style="418" width="10"/>
    <col customWidth="1" hidden="1" min="3" max="3" style="1" width="7.5"/>
    <col customWidth="1" min="4" max="9" style="1" width="7.5"/>
    <col customWidth="1" min="10" max="10" style="439" width="7.5"/>
    <col customWidth="1" min="11" max="11" style="1" width="7.625"/>
    <col customWidth="1" min="12" max="12" style="1" width="8"/>
    <col customWidth="1" min="13" max="13" style="457" width="10.25"/>
  </cols>
  <sheetData>
    <row r="1" ht="30" customHeight="1">
      <c r="A1" s="458" t="s">
        <v>1600</v>
      </c>
      <c r="B1" s="458"/>
      <c r="C1" s="458"/>
      <c r="D1" s="458"/>
      <c r="E1" s="458"/>
      <c r="F1" s="458"/>
      <c r="G1" s="458"/>
      <c r="H1" s="458"/>
      <c r="I1" s="458"/>
      <c r="J1" s="459"/>
      <c r="K1" s="458"/>
      <c r="L1" s="438"/>
      <c r="M1" s="460"/>
    </row>
    <row r="2" ht="18" customHeight="1">
      <c r="A2" s="423"/>
      <c r="B2" s="424"/>
      <c r="C2" s="423"/>
      <c r="D2" s="423"/>
      <c r="E2" s="423"/>
      <c r="F2" s="423"/>
      <c r="G2" s="423"/>
      <c r="H2" s="423"/>
      <c r="I2" s="423"/>
      <c r="J2" s="425"/>
      <c r="K2" s="426" t="s">
        <v>2</v>
      </c>
      <c r="L2" s="438"/>
      <c r="M2" s="460"/>
    </row>
    <row r="3" s="10" customFormat="1" ht="18" customHeight="1">
      <c r="A3" s="152" t="s">
        <v>3</v>
      </c>
      <c r="B3" s="152" t="s">
        <v>4</v>
      </c>
      <c r="C3" s="152" t="s">
        <v>1601</v>
      </c>
      <c r="D3" s="152" t="s">
        <v>1602</v>
      </c>
      <c r="E3" s="429" t="s">
        <v>1586</v>
      </c>
      <c r="F3" s="429"/>
      <c r="G3" s="429"/>
      <c r="H3" s="429"/>
      <c r="I3" s="429"/>
      <c r="J3" s="430"/>
      <c r="K3" s="429"/>
      <c r="L3" s="429"/>
      <c r="M3" s="14" t="s">
        <v>1593</v>
      </c>
    </row>
    <row r="4" s="10" customFormat="1" ht="51" customHeight="1">
      <c r="A4" s="152"/>
      <c r="B4" s="152"/>
      <c r="C4" s="152"/>
      <c r="D4" s="152"/>
      <c r="E4" s="152" t="s">
        <v>1603</v>
      </c>
      <c r="F4" s="152" t="s">
        <v>1604</v>
      </c>
      <c r="G4" s="25" t="s">
        <v>1605</v>
      </c>
      <c r="H4" s="14" t="s">
        <v>434</v>
      </c>
      <c r="I4" s="25" t="s">
        <v>1606</v>
      </c>
      <c r="J4" s="146" t="s">
        <v>1607</v>
      </c>
      <c r="K4" s="25" t="s">
        <v>1608</v>
      </c>
      <c r="L4" s="14" t="s">
        <v>1609</v>
      </c>
      <c r="M4" s="14"/>
    </row>
    <row r="5" s="5" customFormat="1" ht="18" customHeight="1">
      <c r="A5" s="436"/>
      <c r="B5" s="152" t="s">
        <v>55</v>
      </c>
      <c r="C5" s="461">
        <v>792499.91000000003</v>
      </c>
      <c r="D5" s="461">
        <v>349700</v>
      </c>
      <c r="E5" s="461">
        <v>8990</v>
      </c>
      <c r="F5" s="461">
        <v>20000</v>
      </c>
      <c r="G5" s="461">
        <v>5994.0018</v>
      </c>
      <c r="H5" s="461">
        <v>20000</v>
      </c>
      <c r="I5" s="461">
        <v>58000</v>
      </c>
      <c r="J5" s="170">
        <v>-10122.0097303333</v>
      </c>
      <c r="K5" s="461">
        <v>0</v>
      </c>
      <c r="L5" s="170">
        <v>1000</v>
      </c>
      <c r="M5" s="462"/>
    </row>
    <row r="6" ht="18" customHeight="1">
      <c r="A6" s="436"/>
      <c r="B6" s="463" t="s">
        <v>56</v>
      </c>
      <c r="C6" s="61">
        <v>164708</v>
      </c>
      <c r="D6" s="61">
        <v>49000</v>
      </c>
      <c r="E6" s="61"/>
      <c r="F6" s="61"/>
      <c r="G6" s="61"/>
      <c r="H6" s="61"/>
      <c r="I6" s="61"/>
      <c r="J6" s="59">
        <v>0</v>
      </c>
      <c r="K6" s="61"/>
      <c r="L6" s="436"/>
      <c r="M6" s="462"/>
    </row>
    <row r="7" s="10" customFormat="1" ht="18" customHeight="1">
      <c r="A7" s="432"/>
      <c r="B7" s="431" t="s">
        <v>72</v>
      </c>
      <c r="C7" s="461">
        <v>27402.91</v>
      </c>
      <c r="D7" s="461">
        <f>12153+457</f>
        <v>12610</v>
      </c>
      <c r="E7" s="461">
        <v>289</v>
      </c>
      <c r="F7" s="461">
        <v>1100</v>
      </c>
      <c r="G7" s="461">
        <v>426</v>
      </c>
      <c r="H7" s="461">
        <v>0</v>
      </c>
      <c r="I7" s="461">
        <v>2000</v>
      </c>
      <c r="J7" s="170">
        <v>-394.11000000000001</v>
      </c>
      <c r="K7" s="461"/>
      <c r="L7" s="432"/>
      <c r="M7" s="464"/>
    </row>
    <row r="8" s="5" customFormat="1" ht="18" customHeight="1">
      <c r="A8" s="436"/>
      <c r="B8" s="452" t="s">
        <v>74</v>
      </c>
      <c r="C8" s="61">
        <v>109</v>
      </c>
      <c r="D8" s="61">
        <v>457</v>
      </c>
      <c r="E8" s="61">
        <v>0</v>
      </c>
      <c r="F8" s="61"/>
      <c r="G8" s="61"/>
      <c r="H8" s="61"/>
      <c r="I8" s="61"/>
      <c r="J8" s="59">
        <v>0</v>
      </c>
      <c r="K8" s="61"/>
      <c r="L8" s="436"/>
      <c r="M8" s="465" t="s">
        <v>1610</v>
      </c>
    </row>
    <row r="9" s="5" customFormat="1" ht="18" customHeight="1">
      <c r="A9" s="436"/>
      <c r="B9" s="452" t="s">
        <v>76</v>
      </c>
      <c r="C9" s="61">
        <v>27293.91</v>
      </c>
      <c r="D9" s="61">
        <v>12153</v>
      </c>
      <c r="E9" s="61">
        <v>289</v>
      </c>
      <c r="F9" s="61">
        <v>1100</v>
      </c>
      <c r="G9" s="61">
        <v>426</v>
      </c>
      <c r="H9" s="61">
        <v>0</v>
      </c>
      <c r="I9" s="61">
        <v>2000</v>
      </c>
      <c r="J9" s="59">
        <v>-394.11000000000001</v>
      </c>
      <c r="K9" s="61"/>
      <c r="L9" s="436"/>
      <c r="M9" s="462"/>
    </row>
    <row r="10" s="5" customFormat="1" ht="18" customHeight="1">
      <c r="A10" s="85">
        <v>1</v>
      </c>
      <c r="B10" s="86" t="s">
        <v>59</v>
      </c>
      <c r="C10" s="61">
        <v>579.90999999999997</v>
      </c>
      <c r="D10" s="61">
        <v>257</v>
      </c>
      <c r="E10" s="61">
        <v>0</v>
      </c>
      <c r="F10" s="61"/>
      <c r="G10" s="61">
        <v>2</v>
      </c>
      <c r="H10" s="61"/>
      <c r="I10" s="61"/>
      <c r="J10" s="59">
        <v>0</v>
      </c>
      <c r="K10" s="61"/>
      <c r="L10" s="436"/>
      <c r="M10" s="462"/>
    </row>
    <row r="11" ht="18" customHeight="1">
      <c r="A11" s="85">
        <v>2</v>
      </c>
      <c r="B11" s="86" t="s">
        <v>57</v>
      </c>
      <c r="C11" s="61">
        <v>540</v>
      </c>
      <c r="D11" s="61">
        <v>0</v>
      </c>
      <c r="E11" s="61">
        <v>0</v>
      </c>
      <c r="F11" s="61"/>
      <c r="G11" s="61">
        <v>0</v>
      </c>
      <c r="H11" s="61"/>
      <c r="I11" s="61"/>
      <c r="J11" s="59">
        <v>0</v>
      </c>
      <c r="K11" s="61"/>
      <c r="L11" s="436"/>
      <c r="M11" s="462"/>
    </row>
    <row r="12" ht="18" customHeight="1">
      <c r="A12" s="85">
        <v>3</v>
      </c>
      <c r="B12" s="86" t="s">
        <v>63</v>
      </c>
      <c r="C12" s="61">
        <v>280</v>
      </c>
      <c r="D12" s="61">
        <v>0</v>
      </c>
      <c r="E12" s="61">
        <v>0</v>
      </c>
      <c r="F12" s="61"/>
      <c r="G12" s="61">
        <v>0</v>
      </c>
      <c r="H12" s="61"/>
      <c r="I12" s="61"/>
      <c r="J12" s="59">
        <v>0</v>
      </c>
      <c r="K12" s="61"/>
      <c r="L12" s="436"/>
      <c r="M12" s="462"/>
    </row>
    <row r="13" ht="18" customHeight="1">
      <c r="A13" s="85">
        <v>4</v>
      </c>
      <c r="B13" s="86" t="s">
        <v>61</v>
      </c>
      <c r="C13" s="61">
        <v>40</v>
      </c>
      <c r="D13" s="61">
        <v>0</v>
      </c>
      <c r="E13" s="61">
        <v>0</v>
      </c>
      <c r="F13" s="61"/>
      <c r="G13" s="61">
        <v>0</v>
      </c>
      <c r="H13" s="61"/>
      <c r="I13" s="61"/>
      <c r="J13" s="59">
        <v>0</v>
      </c>
      <c r="K13" s="61"/>
      <c r="L13" s="436"/>
      <c r="M13" s="462"/>
    </row>
    <row r="14" ht="18" customHeight="1">
      <c r="A14" s="85">
        <v>5</v>
      </c>
      <c r="B14" s="86" t="s">
        <v>67</v>
      </c>
      <c r="C14" s="466">
        <v>70</v>
      </c>
      <c r="D14" s="466">
        <v>0</v>
      </c>
      <c r="E14" s="61">
        <v>0</v>
      </c>
      <c r="F14" s="61"/>
      <c r="G14" s="61">
        <v>0</v>
      </c>
      <c r="H14" s="61"/>
      <c r="I14" s="61"/>
      <c r="J14" s="59">
        <v>0</v>
      </c>
      <c r="K14" s="61"/>
      <c r="L14" s="436"/>
      <c r="M14" s="462"/>
    </row>
    <row r="15" ht="18" customHeight="1">
      <c r="A15" s="85">
        <v>6</v>
      </c>
      <c r="B15" s="86" t="s">
        <v>81</v>
      </c>
      <c r="C15" s="466">
        <v>560</v>
      </c>
      <c r="D15" s="466">
        <v>0</v>
      </c>
      <c r="E15" s="61">
        <v>0</v>
      </c>
      <c r="F15" s="61"/>
      <c r="G15" s="61">
        <v>0</v>
      </c>
      <c r="H15" s="61"/>
      <c r="I15" s="61"/>
      <c r="J15" s="59">
        <v>0</v>
      </c>
      <c r="K15" s="61"/>
      <c r="L15" s="436"/>
      <c r="M15" s="462"/>
    </row>
    <row r="16" ht="18" customHeight="1">
      <c r="A16" s="85">
        <v>7</v>
      </c>
      <c r="B16" s="86" t="s">
        <v>71</v>
      </c>
      <c r="C16" s="466">
        <v>1163</v>
      </c>
      <c r="D16" s="466">
        <v>277</v>
      </c>
      <c r="E16" s="61">
        <v>0</v>
      </c>
      <c r="F16" s="61"/>
      <c r="G16" s="61">
        <v>1</v>
      </c>
      <c r="H16" s="61"/>
      <c r="I16" s="61"/>
      <c r="J16" s="59">
        <v>0</v>
      </c>
      <c r="K16" s="61"/>
      <c r="L16" s="436"/>
      <c r="M16" s="462"/>
    </row>
    <row r="17" s="5" customFormat="1" ht="18" customHeight="1">
      <c r="A17" s="85">
        <v>8</v>
      </c>
      <c r="B17" s="86" t="s">
        <v>69</v>
      </c>
      <c r="C17" s="61">
        <v>360</v>
      </c>
      <c r="D17" s="61">
        <v>275</v>
      </c>
      <c r="E17" s="61">
        <v>0</v>
      </c>
      <c r="F17" s="61"/>
      <c r="G17" s="61">
        <v>1</v>
      </c>
      <c r="H17" s="61"/>
      <c r="I17" s="61"/>
      <c r="J17" s="59">
        <v>-15.6666666666667</v>
      </c>
      <c r="K17" s="61"/>
      <c r="L17" s="436"/>
      <c r="M17" s="462"/>
    </row>
    <row r="18" ht="18" customHeight="1">
      <c r="A18" s="85">
        <v>9</v>
      </c>
      <c r="B18" s="86" t="s">
        <v>73</v>
      </c>
      <c r="C18" s="61">
        <v>643</v>
      </c>
      <c r="D18" s="61">
        <v>340</v>
      </c>
      <c r="E18" s="61">
        <v>0</v>
      </c>
      <c r="F18" s="61"/>
      <c r="G18" s="61">
        <v>2</v>
      </c>
      <c r="H18" s="61"/>
      <c r="I18" s="61"/>
      <c r="J18" s="59">
        <v>0</v>
      </c>
      <c r="K18" s="61"/>
      <c r="L18" s="436"/>
      <c r="M18" s="462"/>
    </row>
    <row r="19" ht="18" customHeight="1">
      <c r="A19" s="85">
        <v>10</v>
      </c>
      <c r="B19" s="86" t="s">
        <v>75</v>
      </c>
      <c r="C19" s="61">
        <v>1031</v>
      </c>
      <c r="D19" s="61">
        <v>805</v>
      </c>
      <c r="E19" s="61">
        <v>0</v>
      </c>
      <c r="F19" s="61">
        <v>600</v>
      </c>
      <c r="G19" s="61">
        <v>3</v>
      </c>
      <c r="H19" s="61"/>
      <c r="I19" s="61"/>
      <c r="J19" s="59">
        <v>0</v>
      </c>
      <c r="K19" s="61"/>
      <c r="L19" s="436"/>
      <c r="M19" s="462"/>
    </row>
    <row r="20" ht="18" customHeight="1">
      <c r="A20" s="85">
        <v>11</v>
      </c>
      <c r="B20" s="86" t="s">
        <v>77</v>
      </c>
      <c r="C20" s="61">
        <v>468</v>
      </c>
      <c r="D20" s="61">
        <v>240</v>
      </c>
      <c r="E20" s="61">
        <v>0</v>
      </c>
      <c r="F20" s="61"/>
      <c r="G20" s="61">
        <v>4</v>
      </c>
      <c r="H20" s="61"/>
      <c r="I20" s="61"/>
      <c r="J20" s="59">
        <v>-31.683333333333302</v>
      </c>
      <c r="K20" s="61"/>
      <c r="L20" s="436"/>
      <c r="M20" s="462"/>
    </row>
    <row r="21" ht="18" customHeight="1">
      <c r="A21" s="85">
        <v>12</v>
      </c>
      <c r="B21" s="86" t="s">
        <v>79</v>
      </c>
      <c r="C21" s="61">
        <v>6038</v>
      </c>
      <c r="D21" s="61">
        <v>2554</v>
      </c>
      <c r="E21" s="61">
        <v>0</v>
      </c>
      <c r="F21" s="61">
        <v>500</v>
      </c>
      <c r="G21" s="61">
        <v>188</v>
      </c>
      <c r="H21" s="61"/>
      <c r="I21" s="61"/>
      <c r="J21" s="59">
        <v>-24.123333333333299</v>
      </c>
      <c r="K21" s="61"/>
      <c r="L21" s="436"/>
      <c r="M21" s="462"/>
    </row>
    <row r="22" s="84" customFormat="1" ht="18" customHeight="1">
      <c r="A22" s="85">
        <v>13</v>
      </c>
      <c r="B22" s="86" t="s">
        <v>65</v>
      </c>
      <c r="C22" s="61">
        <v>9391</v>
      </c>
      <c r="D22" s="61">
        <v>4883</v>
      </c>
      <c r="E22" s="61">
        <v>289</v>
      </c>
      <c r="F22" s="61"/>
      <c r="G22" s="61">
        <v>93</v>
      </c>
      <c r="H22" s="61"/>
      <c r="I22" s="61">
        <v>2000</v>
      </c>
      <c r="J22" s="59">
        <v>-300</v>
      </c>
      <c r="K22" s="61"/>
      <c r="L22" s="436"/>
      <c r="M22" s="462"/>
    </row>
    <row r="23" ht="18" customHeight="1">
      <c r="A23" s="85">
        <v>14</v>
      </c>
      <c r="B23" s="86" t="s">
        <v>80</v>
      </c>
      <c r="C23" s="61">
        <v>6130</v>
      </c>
      <c r="D23" s="61">
        <v>2522</v>
      </c>
      <c r="E23" s="61">
        <v>0</v>
      </c>
      <c r="F23" s="61"/>
      <c r="G23" s="61">
        <v>132</v>
      </c>
      <c r="H23" s="61"/>
      <c r="I23" s="61"/>
      <c r="J23" s="59">
        <v>-22.636666666666699</v>
      </c>
      <c r="K23" s="61"/>
      <c r="L23" s="436"/>
      <c r="M23" s="462"/>
    </row>
    <row r="24" s="10" customFormat="1" ht="18" customHeight="1">
      <c r="A24" s="432"/>
      <c r="B24" s="431" t="s">
        <v>82</v>
      </c>
      <c r="C24" s="467">
        <v>143644</v>
      </c>
      <c r="D24" s="467">
        <v>67107</v>
      </c>
      <c r="E24" s="461">
        <v>4449</v>
      </c>
      <c r="F24" s="461">
        <v>2400</v>
      </c>
      <c r="G24" s="461">
        <v>1386</v>
      </c>
      <c r="H24" s="461">
        <v>0</v>
      </c>
      <c r="I24" s="461">
        <v>20000</v>
      </c>
      <c r="J24" s="170">
        <v>-892.09000000000003</v>
      </c>
      <c r="K24" s="461"/>
      <c r="L24" s="432"/>
      <c r="M24" s="464"/>
    </row>
    <row r="25" s="5" customFormat="1" ht="18" customHeight="1">
      <c r="A25" s="436"/>
      <c r="B25" s="452" t="s">
        <v>83</v>
      </c>
      <c r="C25" s="61">
        <v>24749</v>
      </c>
      <c r="D25" s="61">
        <v>23486</v>
      </c>
      <c r="E25" s="61">
        <v>0</v>
      </c>
      <c r="F25" s="61"/>
      <c r="G25" s="61">
        <v>0</v>
      </c>
      <c r="H25" s="61"/>
      <c r="I25" s="61">
        <v>20000</v>
      </c>
      <c r="J25" s="59">
        <v>0</v>
      </c>
      <c r="K25" s="61"/>
      <c r="L25" s="436"/>
      <c r="M25" s="462"/>
    </row>
    <row r="26" s="5" customFormat="1" ht="18" customHeight="1">
      <c r="A26" s="436"/>
      <c r="B26" s="452" t="s">
        <v>76</v>
      </c>
      <c r="C26" s="466">
        <v>118895</v>
      </c>
      <c r="D26" s="466">
        <v>43621</v>
      </c>
      <c r="E26" s="61">
        <v>4449</v>
      </c>
      <c r="F26" s="61">
        <v>2400</v>
      </c>
      <c r="G26" s="61">
        <v>1386</v>
      </c>
      <c r="H26" s="61">
        <v>0</v>
      </c>
      <c r="I26" s="61">
        <v>0</v>
      </c>
      <c r="J26" s="59">
        <v>-892.09000000000003</v>
      </c>
      <c r="K26" s="61"/>
      <c r="L26" s="436"/>
      <c r="M26" s="462"/>
    </row>
    <row r="27" ht="18" customHeight="1">
      <c r="A27" s="85">
        <v>15</v>
      </c>
      <c r="B27" s="86" t="s">
        <v>84</v>
      </c>
      <c r="C27" s="61">
        <v>13848</v>
      </c>
      <c r="D27" s="61">
        <v>5671</v>
      </c>
      <c r="E27" s="61">
        <v>1316</v>
      </c>
      <c r="F27" s="61"/>
      <c r="G27" s="61">
        <v>90</v>
      </c>
      <c r="H27" s="61"/>
      <c r="I27" s="61"/>
      <c r="J27" s="59">
        <v>0</v>
      </c>
      <c r="K27" s="61"/>
      <c r="L27" s="436"/>
      <c r="M27" s="462"/>
    </row>
    <row r="28" ht="18" customHeight="1">
      <c r="A28" s="85">
        <v>16</v>
      </c>
      <c r="B28" s="86" t="s">
        <v>85</v>
      </c>
      <c r="C28" s="61">
        <v>9555</v>
      </c>
      <c r="D28" s="61">
        <v>3675</v>
      </c>
      <c r="E28" s="61">
        <v>888</v>
      </c>
      <c r="F28" s="61"/>
      <c r="G28" s="61">
        <v>106</v>
      </c>
      <c r="H28" s="61"/>
      <c r="I28" s="61"/>
      <c r="J28" s="59">
        <v>0</v>
      </c>
      <c r="K28" s="61"/>
      <c r="L28" s="436"/>
      <c r="M28" s="462"/>
    </row>
    <row r="29" ht="18" customHeight="1">
      <c r="A29" s="85">
        <v>17</v>
      </c>
      <c r="B29" s="86" t="s">
        <v>86</v>
      </c>
      <c r="C29" s="61">
        <v>8834</v>
      </c>
      <c r="D29" s="61">
        <v>3929</v>
      </c>
      <c r="E29" s="61">
        <v>12</v>
      </c>
      <c r="F29" s="61">
        <v>800</v>
      </c>
      <c r="G29" s="61">
        <v>97</v>
      </c>
      <c r="H29" s="61"/>
      <c r="I29" s="61"/>
      <c r="J29" s="59">
        <v>0</v>
      </c>
      <c r="K29" s="61"/>
      <c r="L29" s="436"/>
      <c r="M29" s="462"/>
    </row>
    <row r="30" ht="18" customHeight="1">
      <c r="A30" s="85">
        <v>18</v>
      </c>
      <c r="B30" s="86" t="s">
        <v>87</v>
      </c>
      <c r="C30" s="61">
        <v>8205</v>
      </c>
      <c r="D30" s="61">
        <v>2390</v>
      </c>
      <c r="E30" s="61">
        <v>372</v>
      </c>
      <c r="F30" s="61"/>
      <c r="G30" s="61">
        <v>61</v>
      </c>
      <c r="H30" s="61"/>
      <c r="I30" s="61"/>
      <c r="J30" s="59">
        <v>0</v>
      </c>
      <c r="K30" s="61"/>
      <c r="L30" s="436"/>
      <c r="M30" s="462"/>
    </row>
    <row r="31" ht="18" customHeight="1">
      <c r="A31" s="85">
        <v>19</v>
      </c>
      <c r="B31" s="86" t="s">
        <v>88</v>
      </c>
      <c r="C31" s="61">
        <v>6123</v>
      </c>
      <c r="D31" s="61">
        <v>2312</v>
      </c>
      <c r="E31" s="61">
        <v>11</v>
      </c>
      <c r="F31" s="61"/>
      <c r="G31" s="61">
        <v>135</v>
      </c>
      <c r="H31" s="61"/>
      <c r="I31" s="61"/>
      <c r="J31" s="59">
        <v>0</v>
      </c>
      <c r="K31" s="61"/>
      <c r="L31" s="436"/>
      <c r="M31" s="462"/>
    </row>
    <row r="32" ht="18" customHeight="1">
      <c r="A32" s="85">
        <v>20</v>
      </c>
      <c r="B32" s="86" t="s">
        <v>89</v>
      </c>
      <c r="C32" s="61">
        <v>9626</v>
      </c>
      <c r="D32" s="61">
        <v>3751</v>
      </c>
      <c r="E32" s="61">
        <v>275</v>
      </c>
      <c r="F32" s="61">
        <v>800</v>
      </c>
      <c r="G32" s="61">
        <v>101</v>
      </c>
      <c r="H32" s="61"/>
      <c r="I32" s="61"/>
      <c r="J32" s="59">
        <v>-600</v>
      </c>
      <c r="K32" s="61"/>
      <c r="L32" s="436"/>
      <c r="M32" s="462"/>
    </row>
    <row r="33" ht="18" customHeight="1">
      <c r="A33" s="85">
        <v>21</v>
      </c>
      <c r="B33" s="86" t="s">
        <v>92</v>
      </c>
      <c r="C33" s="61">
        <v>4977</v>
      </c>
      <c r="D33" s="61">
        <v>2352</v>
      </c>
      <c r="E33" s="61">
        <v>76</v>
      </c>
      <c r="F33" s="61"/>
      <c r="G33" s="61">
        <v>17</v>
      </c>
      <c r="H33" s="61"/>
      <c r="I33" s="61"/>
      <c r="J33" s="59">
        <v>0</v>
      </c>
      <c r="K33" s="61"/>
      <c r="L33" s="436"/>
      <c r="M33" s="462"/>
    </row>
    <row r="34" s="5" customFormat="1" ht="18" customHeight="1">
      <c r="A34" s="85">
        <v>22</v>
      </c>
      <c r="B34" s="86" t="s">
        <v>95</v>
      </c>
      <c r="C34" s="61">
        <v>38978</v>
      </c>
      <c r="D34" s="61">
        <v>12242</v>
      </c>
      <c r="E34" s="61">
        <v>881</v>
      </c>
      <c r="F34" s="61"/>
      <c r="G34" s="61">
        <v>534</v>
      </c>
      <c r="H34" s="61"/>
      <c r="I34" s="61"/>
      <c r="J34" s="59">
        <v>0</v>
      </c>
      <c r="K34" s="61"/>
      <c r="L34" s="436"/>
      <c r="M34" s="462"/>
    </row>
    <row r="35" ht="18" customHeight="1">
      <c r="A35" s="85">
        <v>23</v>
      </c>
      <c r="B35" s="86" t="s">
        <v>96</v>
      </c>
      <c r="C35" s="61">
        <v>13356</v>
      </c>
      <c r="D35" s="61">
        <v>5655</v>
      </c>
      <c r="E35" s="61">
        <v>529</v>
      </c>
      <c r="F35" s="61">
        <v>800</v>
      </c>
      <c r="G35" s="61">
        <v>217</v>
      </c>
      <c r="H35" s="61"/>
      <c r="I35" s="61"/>
      <c r="J35" s="59">
        <v>-152.88999999999999</v>
      </c>
      <c r="K35" s="61"/>
      <c r="L35" s="436"/>
      <c r="M35" s="462"/>
    </row>
    <row r="36" ht="18" customHeight="1">
      <c r="A36" s="85">
        <v>24</v>
      </c>
      <c r="B36" s="86" t="s">
        <v>97</v>
      </c>
      <c r="C36" s="61">
        <v>4813</v>
      </c>
      <c r="D36" s="61">
        <v>1288</v>
      </c>
      <c r="E36" s="61">
        <v>90</v>
      </c>
      <c r="F36" s="61"/>
      <c r="G36" s="61">
        <v>21</v>
      </c>
      <c r="H36" s="61"/>
      <c r="I36" s="61"/>
      <c r="J36" s="59">
        <v>-139.19999999999999</v>
      </c>
      <c r="K36" s="61"/>
      <c r="L36" s="436"/>
      <c r="M36" s="462"/>
    </row>
    <row r="37" ht="18" customHeight="1">
      <c r="A37" s="85">
        <v>25</v>
      </c>
      <c r="B37" s="86" t="s">
        <v>98</v>
      </c>
      <c r="C37" s="61">
        <v>580</v>
      </c>
      <c r="D37" s="61">
        <v>356</v>
      </c>
      <c r="E37" s="61">
        <v>0</v>
      </c>
      <c r="F37" s="61"/>
      <c r="G37" s="61">
        <v>7</v>
      </c>
      <c r="H37" s="61"/>
      <c r="I37" s="61"/>
      <c r="J37" s="59">
        <v>0</v>
      </c>
      <c r="K37" s="61"/>
      <c r="L37" s="436"/>
      <c r="M37" s="462"/>
    </row>
    <row r="38" s="10" customFormat="1" ht="18" customHeight="1">
      <c r="A38" s="432"/>
      <c r="B38" s="431" t="s">
        <v>99</v>
      </c>
      <c r="C38" s="467">
        <v>58860</v>
      </c>
      <c r="D38" s="467">
        <v>29578</v>
      </c>
      <c r="E38" s="461">
        <v>1690</v>
      </c>
      <c r="F38" s="461">
        <v>2300</v>
      </c>
      <c r="G38" s="461">
        <v>410</v>
      </c>
      <c r="H38" s="461">
        <v>0</v>
      </c>
      <c r="I38" s="461">
        <v>4000</v>
      </c>
      <c r="J38" s="170">
        <v>-1200</v>
      </c>
      <c r="K38" s="461"/>
      <c r="L38" s="432"/>
      <c r="M38" s="464"/>
    </row>
    <row r="39" s="5" customFormat="1" ht="18" customHeight="1">
      <c r="A39" s="436"/>
      <c r="B39" s="452" t="s">
        <v>100</v>
      </c>
      <c r="C39" s="61">
        <v>39</v>
      </c>
      <c r="D39" s="61">
        <v>0</v>
      </c>
      <c r="E39" s="61">
        <v>0</v>
      </c>
      <c r="F39" s="61"/>
      <c r="G39" s="61">
        <v>0</v>
      </c>
      <c r="H39" s="61"/>
      <c r="I39" s="61"/>
      <c r="J39" s="59">
        <v>0</v>
      </c>
      <c r="K39" s="61"/>
      <c r="L39" s="436"/>
      <c r="M39" s="462"/>
    </row>
    <row r="40" s="5" customFormat="1" ht="18" customHeight="1">
      <c r="A40" s="436"/>
      <c r="B40" s="452" t="s">
        <v>76</v>
      </c>
      <c r="C40" s="466">
        <v>58821</v>
      </c>
      <c r="D40" s="466">
        <v>29578</v>
      </c>
      <c r="E40" s="61">
        <v>1690</v>
      </c>
      <c r="F40" s="61">
        <v>2300</v>
      </c>
      <c r="G40" s="61">
        <v>410</v>
      </c>
      <c r="H40" s="61">
        <v>0</v>
      </c>
      <c r="I40" s="61">
        <v>4000</v>
      </c>
      <c r="J40" s="59">
        <v>-1200</v>
      </c>
      <c r="K40" s="61"/>
      <c r="L40" s="436"/>
      <c r="M40" s="462"/>
    </row>
    <row r="41" ht="18" customHeight="1">
      <c r="A41" s="85">
        <v>26</v>
      </c>
      <c r="B41" s="86" t="s">
        <v>101</v>
      </c>
      <c r="C41" s="61">
        <v>1452</v>
      </c>
      <c r="D41" s="61">
        <v>1005</v>
      </c>
      <c r="E41" s="61">
        <v>0</v>
      </c>
      <c r="F41" s="61">
        <v>500</v>
      </c>
      <c r="G41" s="61">
        <v>3</v>
      </c>
      <c r="H41" s="61"/>
      <c r="I41" s="61"/>
      <c r="J41" s="59">
        <v>0</v>
      </c>
      <c r="K41" s="61"/>
      <c r="L41" s="436"/>
      <c r="M41" s="462"/>
    </row>
    <row r="42" ht="18" customHeight="1">
      <c r="A42" s="85">
        <v>27</v>
      </c>
      <c r="B42" s="86" t="s">
        <v>108</v>
      </c>
      <c r="C42" s="61">
        <v>1241</v>
      </c>
      <c r="D42" s="61">
        <v>590</v>
      </c>
      <c r="E42" s="61">
        <v>0</v>
      </c>
      <c r="F42" s="61"/>
      <c r="G42" s="61">
        <v>13</v>
      </c>
      <c r="H42" s="61"/>
      <c r="I42" s="61"/>
      <c r="J42" s="59">
        <v>0</v>
      </c>
      <c r="K42" s="61"/>
      <c r="L42" s="436"/>
      <c r="M42" s="462"/>
    </row>
    <row r="43" ht="18" customHeight="1">
      <c r="A43" s="85">
        <v>28</v>
      </c>
      <c r="B43" s="86" t="s">
        <v>102</v>
      </c>
      <c r="C43" s="61">
        <v>2011</v>
      </c>
      <c r="D43" s="61">
        <v>957</v>
      </c>
      <c r="E43" s="61">
        <v>0</v>
      </c>
      <c r="F43" s="61">
        <v>500</v>
      </c>
      <c r="G43" s="61">
        <v>6</v>
      </c>
      <c r="H43" s="61"/>
      <c r="I43" s="61"/>
      <c r="J43" s="59">
        <v>0</v>
      </c>
      <c r="K43" s="61"/>
      <c r="L43" s="436"/>
      <c r="M43" s="462"/>
    </row>
    <row r="44" ht="18" customHeight="1">
      <c r="A44" s="85">
        <v>29</v>
      </c>
      <c r="B44" s="86" t="s">
        <v>109</v>
      </c>
      <c r="C44" s="61">
        <v>12232</v>
      </c>
      <c r="D44" s="61">
        <v>6521</v>
      </c>
      <c r="E44" s="61">
        <v>360</v>
      </c>
      <c r="F44" s="61">
        <v>600</v>
      </c>
      <c r="G44" s="61">
        <v>97</v>
      </c>
      <c r="H44" s="61"/>
      <c r="I44" s="61">
        <v>2000</v>
      </c>
      <c r="J44" s="59">
        <v>-900</v>
      </c>
      <c r="K44" s="61"/>
      <c r="L44" s="436"/>
      <c r="M44" s="462"/>
    </row>
    <row r="45" ht="18" customHeight="1">
      <c r="A45" s="85">
        <v>30</v>
      </c>
      <c r="B45" s="86" t="s">
        <v>106</v>
      </c>
      <c r="C45" s="61">
        <v>6104</v>
      </c>
      <c r="D45" s="61">
        <v>2584</v>
      </c>
      <c r="E45" s="61">
        <v>12</v>
      </c>
      <c r="F45" s="61"/>
      <c r="G45" s="61">
        <v>38</v>
      </c>
      <c r="H45" s="61"/>
      <c r="I45" s="61"/>
      <c r="J45" s="59">
        <v>0</v>
      </c>
      <c r="K45" s="61"/>
      <c r="L45" s="436"/>
      <c r="M45" s="462"/>
    </row>
    <row r="46" ht="18" customHeight="1">
      <c r="A46" s="85">
        <v>31</v>
      </c>
      <c r="B46" s="86" t="s">
        <v>105</v>
      </c>
      <c r="C46" s="61">
        <v>2767</v>
      </c>
      <c r="D46" s="61">
        <v>1715</v>
      </c>
      <c r="E46" s="61">
        <v>0</v>
      </c>
      <c r="F46" s="61"/>
      <c r="G46" s="61">
        <v>36</v>
      </c>
      <c r="H46" s="61"/>
      <c r="I46" s="61"/>
      <c r="J46" s="59">
        <v>0</v>
      </c>
      <c r="K46" s="61"/>
      <c r="L46" s="436"/>
      <c r="M46" s="462"/>
    </row>
    <row r="47" ht="18" customHeight="1">
      <c r="A47" s="85">
        <v>32</v>
      </c>
      <c r="B47" s="86" t="s">
        <v>104</v>
      </c>
      <c r="C47" s="61">
        <v>3064</v>
      </c>
      <c r="D47" s="61">
        <v>1669</v>
      </c>
      <c r="E47" s="61">
        <v>11</v>
      </c>
      <c r="F47" s="61"/>
      <c r="G47" s="61">
        <v>24</v>
      </c>
      <c r="H47" s="61"/>
      <c r="I47" s="61"/>
      <c r="J47" s="59">
        <v>0</v>
      </c>
      <c r="K47" s="61"/>
      <c r="L47" s="436"/>
      <c r="M47" s="462"/>
    </row>
    <row r="48" ht="18" customHeight="1">
      <c r="A48" s="85">
        <v>33</v>
      </c>
      <c r="B48" s="86" t="s">
        <v>103</v>
      </c>
      <c r="C48" s="61">
        <v>2383</v>
      </c>
      <c r="D48" s="61">
        <v>1269</v>
      </c>
      <c r="E48" s="61">
        <v>0</v>
      </c>
      <c r="F48" s="61"/>
      <c r="G48" s="61">
        <v>25</v>
      </c>
      <c r="H48" s="61"/>
      <c r="I48" s="61"/>
      <c r="J48" s="59">
        <v>0</v>
      </c>
      <c r="K48" s="61"/>
      <c r="L48" s="436"/>
      <c r="M48" s="462"/>
    </row>
    <row r="49" s="5" customFormat="1" ht="18" customHeight="1">
      <c r="A49" s="85">
        <v>34</v>
      </c>
      <c r="B49" s="86" t="s">
        <v>107</v>
      </c>
      <c r="C49" s="61">
        <v>27567</v>
      </c>
      <c r="D49" s="61">
        <v>13268</v>
      </c>
      <c r="E49" s="61">
        <v>1306</v>
      </c>
      <c r="F49" s="61">
        <v>700</v>
      </c>
      <c r="G49" s="61">
        <v>168</v>
      </c>
      <c r="H49" s="61"/>
      <c r="I49" s="61">
        <v>2000</v>
      </c>
      <c r="J49" s="59">
        <v>-300</v>
      </c>
      <c r="K49" s="61"/>
      <c r="L49" s="436"/>
      <c r="M49" s="462"/>
    </row>
    <row r="50" s="10" customFormat="1" ht="18" customHeight="1">
      <c r="A50" s="432"/>
      <c r="B50" s="431" t="s">
        <v>110</v>
      </c>
      <c r="C50" s="467">
        <v>10758</v>
      </c>
      <c r="D50" s="467">
        <v>7349</v>
      </c>
      <c r="E50" s="461">
        <v>0</v>
      </c>
      <c r="F50" s="461">
        <v>2000</v>
      </c>
      <c r="G50" s="461">
        <v>65</v>
      </c>
      <c r="H50" s="461">
        <v>0</v>
      </c>
      <c r="I50" s="461">
        <v>0</v>
      </c>
      <c r="J50" s="170">
        <v>-346.59842333333302</v>
      </c>
      <c r="K50" s="461"/>
      <c r="L50" s="432"/>
      <c r="M50" s="464"/>
    </row>
    <row r="51" s="5" customFormat="1" ht="18" customHeight="1">
      <c r="A51" s="436"/>
      <c r="B51" s="452" t="s">
        <v>111</v>
      </c>
      <c r="C51" s="61">
        <v>39</v>
      </c>
      <c r="D51" s="61">
        <v>0</v>
      </c>
      <c r="E51" s="61">
        <v>0</v>
      </c>
      <c r="F51" s="61"/>
      <c r="G51" s="61">
        <v>0</v>
      </c>
      <c r="H51" s="61"/>
      <c r="I51" s="61"/>
      <c r="J51" s="59">
        <v>0</v>
      </c>
      <c r="K51" s="61"/>
      <c r="L51" s="436"/>
      <c r="M51" s="462"/>
    </row>
    <row r="52" s="5" customFormat="1" ht="18" customHeight="1">
      <c r="A52" s="436"/>
      <c r="B52" s="452" t="s">
        <v>76</v>
      </c>
      <c r="C52" s="466">
        <v>10719</v>
      </c>
      <c r="D52" s="466">
        <v>7349</v>
      </c>
      <c r="E52" s="61">
        <v>0</v>
      </c>
      <c r="F52" s="61">
        <v>2000</v>
      </c>
      <c r="G52" s="61">
        <v>65</v>
      </c>
      <c r="H52" s="61">
        <v>0</v>
      </c>
      <c r="I52" s="61">
        <v>0</v>
      </c>
      <c r="J52" s="59">
        <v>-346.59842333333302</v>
      </c>
      <c r="K52" s="61"/>
      <c r="L52" s="436"/>
      <c r="M52" s="462"/>
    </row>
    <row r="53" ht="18" customHeight="1">
      <c r="A53" s="85">
        <v>35</v>
      </c>
      <c r="B53" s="86" t="s">
        <v>112</v>
      </c>
      <c r="C53" s="61">
        <v>657</v>
      </c>
      <c r="D53" s="61">
        <v>396</v>
      </c>
      <c r="E53" s="61">
        <v>0</v>
      </c>
      <c r="F53" s="61"/>
      <c r="G53" s="61">
        <v>6</v>
      </c>
      <c r="H53" s="61"/>
      <c r="I53" s="61"/>
      <c r="J53" s="59">
        <v>-42.576666666666704</v>
      </c>
      <c r="K53" s="61"/>
      <c r="L53" s="436"/>
      <c r="M53" s="462"/>
    </row>
    <row r="54" ht="18" customHeight="1">
      <c r="A54" s="85">
        <v>36</v>
      </c>
      <c r="B54" s="86" t="s">
        <v>115</v>
      </c>
      <c r="C54" s="61">
        <v>798</v>
      </c>
      <c r="D54" s="61">
        <v>680</v>
      </c>
      <c r="E54" s="61">
        <v>0</v>
      </c>
      <c r="F54" s="61"/>
      <c r="G54" s="61">
        <v>0</v>
      </c>
      <c r="H54" s="61"/>
      <c r="I54" s="61"/>
      <c r="J54" s="59">
        <v>0</v>
      </c>
      <c r="K54" s="61"/>
      <c r="L54" s="436"/>
      <c r="M54" s="462"/>
    </row>
    <row r="55" ht="18" customHeight="1">
      <c r="A55" s="85">
        <v>37</v>
      </c>
      <c r="B55" s="86" t="s">
        <v>113</v>
      </c>
      <c r="C55" s="61">
        <v>1192</v>
      </c>
      <c r="D55" s="61">
        <v>902</v>
      </c>
      <c r="E55" s="61">
        <v>0</v>
      </c>
      <c r="F55" s="61">
        <v>500</v>
      </c>
      <c r="G55" s="61">
        <v>1</v>
      </c>
      <c r="H55" s="61"/>
      <c r="I55" s="61"/>
      <c r="J55" s="59">
        <v>-93.653333333333293</v>
      </c>
      <c r="K55" s="61"/>
      <c r="L55" s="436"/>
      <c r="M55" s="462"/>
    </row>
    <row r="56" ht="18" customHeight="1">
      <c r="A56" s="85">
        <v>38</v>
      </c>
      <c r="B56" s="86" t="s">
        <v>114</v>
      </c>
      <c r="C56" s="61">
        <v>662</v>
      </c>
      <c r="D56" s="61">
        <v>481</v>
      </c>
      <c r="E56" s="61">
        <v>0</v>
      </c>
      <c r="F56" s="61"/>
      <c r="G56" s="61">
        <v>1</v>
      </c>
      <c r="H56" s="61"/>
      <c r="I56" s="61"/>
      <c r="J56" s="59">
        <v>-2.8084233333333302</v>
      </c>
      <c r="K56" s="61"/>
      <c r="L56" s="436"/>
      <c r="M56" s="462"/>
    </row>
    <row r="57" ht="18" customHeight="1">
      <c r="A57" s="85">
        <v>39</v>
      </c>
      <c r="B57" s="86" t="s">
        <v>116</v>
      </c>
      <c r="C57" s="61">
        <v>1025</v>
      </c>
      <c r="D57" s="61">
        <v>752</v>
      </c>
      <c r="E57" s="61">
        <v>0</v>
      </c>
      <c r="F57" s="61"/>
      <c r="G57" s="61">
        <v>31</v>
      </c>
      <c r="H57" s="61"/>
      <c r="I57" s="61"/>
      <c r="J57" s="59">
        <v>0</v>
      </c>
      <c r="K57" s="61"/>
      <c r="L57" s="436"/>
      <c r="M57" s="462"/>
    </row>
    <row r="58" ht="18" customHeight="1">
      <c r="A58" s="85">
        <v>40</v>
      </c>
      <c r="B58" s="86" t="s">
        <v>117</v>
      </c>
      <c r="C58" s="61">
        <v>1438</v>
      </c>
      <c r="D58" s="61">
        <v>512</v>
      </c>
      <c r="E58" s="61">
        <v>0</v>
      </c>
      <c r="F58" s="61"/>
      <c r="G58" s="61">
        <v>2</v>
      </c>
      <c r="H58" s="61"/>
      <c r="I58" s="61"/>
      <c r="J58" s="59">
        <v>-89.126666666666694</v>
      </c>
      <c r="K58" s="61"/>
      <c r="L58" s="436"/>
      <c r="M58" s="462"/>
    </row>
    <row r="59" ht="18" customHeight="1">
      <c r="A59" s="85">
        <v>41</v>
      </c>
      <c r="B59" s="86" t="s">
        <v>118</v>
      </c>
      <c r="C59" s="61">
        <v>1461</v>
      </c>
      <c r="D59" s="61">
        <v>1105</v>
      </c>
      <c r="E59" s="61">
        <v>0</v>
      </c>
      <c r="F59" s="61">
        <v>500</v>
      </c>
      <c r="G59" s="61">
        <v>8</v>
      </c>
      <c r="H59" s="61"/>
      <c r="I59" s="61"/>
      <c r="J59" s="59">
        <v>0</v>
      </c>
      <c r="K59" s="61"/>
      <c r="L59" s="436"/>
      <c r="M59" s="462"/>
    </row>
    <row r="60" ht="18" customHeight="1">
      <c r="A60" s="85">
        <v>42</v>
      </c>
      <c r="B60" s="86" t="s">
        <v>119</v>
      </c>
      <c r="C60" s="61">
        <v>1855</v>
      </c>
      <c r="D60" s="61">
        <v>1342</v>
      </c>
      <c r="E60" s="61">
        <v>0</v>
      </c>
      <c r="F60" s="61">
        <v>500</v>
      </c>
      <c r="G60" s="61">
        <v>14</v>
      </c>
      <c r="H60" s="61"/>
      <c r="I60" s="61"/>
      <c r="J60" s="59">
        <v>0</v>
      </c>
      <c r="K60" s="61"/>
      <c r="L60" s="436"/>
      <c r="M60" s="462"/>
    </row>
    <row r="61" ht="18" customHeight="1">
      <c r="A61" s="85">
        <v>43</v>
      </c>
      <c r="B61" s="86" t="s">
        <v>120</v>
      </c>
      <c r="C61" s="61">
        <v>1631</v>
      </c>
      <c r="D61" s="61">
        <v>1179</v>
      </c>
      <c r="E61" s="61">
        <v>0</v>
      </c>
      <c r="F61" s="61">
        <v>500</v>
      </c>
      <c r="G61" s="61">
        <v>2</v>
      </c>
      <c r="H61" s="61"/>
      <c r="I61" s="61"/>
      <c r="J61" s="59">
        <v>-118.433333333333</v>
      </c>
      <c r="K61" s="61"/>
      <c r="L61" s="436"/>
      <c r="M61" s="462"/>
    </row>
    <row r="62" s="10" customFormat="1" ht="18" customHeight="1">
      <c r="A62" s="432"/>
      <c r="B62" s="431" t="s">
        <v>121</v>
      </c>
      <c r="C62" s="467">
        <v>57550</v>
      </c>
      <c r="D62" s="467">
        <v>30772</v>
      </c>
      <c r="E62" s="461">
        <v>117</v>
      </c>
      <c r="F62" s="461">
        <v>2300</v>
      </c>
      <c r="G62" s="461">
        <v>590</v>
      </c>
      <c r="H62" s="461">
        <v>0</v>
      </c>
      <c r="I62" s="461">
        <v>8000</v>
      </c>
      <c r="J62" s="170">
        <v>-1200</v>
      </c>
      <c r="K62" s="461"/>
      <c r="L62" s="432"/>
      <c r="M62" s="464"/>
    </row>
    <row r="63" s="5" customFormat="1" ht="18" customHeight="1">
      <c r="A63" s="436"/>
      <c r="B63" s="452" t="s">
        <v>122</v>
      </c>
      <c r="C63" s="61">
        <v>59</v>
      </c>
      <c r="D63" s="61">
        <v>0</v>
      </c>
      <c r="E63" s="61">
        <v>0</v>
      </c>
      <c r="F63" s="61"/>
      <c r="G63" s="61">
        <v>0</v>
      </c>
      <c r="H63" s="61"/>
      <c r="I63" s="61"/>
      <c r="J63" s="59">
        <v>0</v>
      </c>
      <c r="K63" s="61"/>
      <c r="L63" s="436"/>
      <c r="M63" s="462"/>
    </row>
    <row r="64" s="5" customFormat="1" ht="18" customHeight="1">
      <c r="A64" s="436"/>
      <c r="B64" s="452" t="s">
        <v>76</v>
      </c>
      <c r="C64" s="466">
        <v>57491</v>
      </c>
      <c r="D64" s="466">
        <v>30772</v>
      </c>
      <c r="E64" s="61">
        <v>117</v>
      </c>
      <c r="F64" s="61">
        <v>2300</v>
      </c>
      <c r="G64" s="61">
        <v>590</v>
      </c>
      <c r="H64" s="61">
        <v>0</v>
      </c>
      <c r="I64" s="61">
        <v>8000</v>
      </c>
      <c r="J64" s="59">
        <v>-1200</v>
      </c>
      <c r="K64" s="61"/>
      <c r="L64" s="436"/>
      <c r="M64" s="462"/>
    </row>
    <row r="65" ht="18" customHeight="1">
      <c r="A65" s="85">
        <v>44</v>
      </c>
      <c r="B65" s="86" t="s">
        <v>123</v>
      </c>
      <c r="C65" s="61">
        <v>884</v>
      </c>
      <c r="D65" s="61">
        <v>477</v>
      </c>
      <c r="E65" s="61">
        <v>12</v>
      </c>
      <c r="F65" s="61"/>
      <c r="G65" s="61">
        <v>14</v>
      </c>
      <c r="H65" s="61"/>
      <c r="I65" s="61"/>
      <c r="J65" s="59">
        <v>0</v>
      </c>
      <c r="K65" s="61"/>
      <c r="L65" s="436"/>
      <c r="M65" s="462"/>
    </row>
    <row r="66" ht="18" customHeight="1">
      <c r="A66" s="85">
        <v>45</v>
      </c>
      <c r="B66" s="86" t="s">
        <v>124</v>
      </c>
      <c r="C66" s="61">
        <v>1846</v>
      </c>
      <c r="D66" s="61">
        <v>1358</v>
      </c>
      <c r="E66" s="61">
        <v>0</v>
      </c>
      <c r="F66" s="61">
        <v>700</v>
      </c>
      <c r="G66" s="61">
        <v>8</v>
      </c>
      <c r="H66" s="61"/>
      <c r="I66" s="61"/>
      <c r="J66" s="59">
        <v>0</v>
      </c>
      <c r="K66" s="61"/>
      <c r="L66" s="436"/>
      <c r="M66" s="462"/>
    </row>
    <row r="67" ht="18" customHeight="1">
      <c r="A67" s="85">
        <v>46</v>
      </c>
      <c r="B67" s="86" t="s">
        <v>125</v>
      </c>
      <c r="C67" s="61">
        <v>2664</v>
      </c>
      <c r="D67" s="61">
        <v>1137</v>
      </c>
      <c r="E67" s="61">
        <v>0</v>
      </c>
      <c r="F67" s="61"/>
      <c r="G67" s="61">
        <v>14</v>
      </c>
      <c r="H67" s="61"/>
      <c r="I67" s="61"/>
      <c r="J67" s="59">
        <v>0</v>
      </c>
      <c r="K67" s="61"/>
      <c r="L67" s="436"/>
      <c r="M67" s="462"/>
    </row>
    <row r="68" ht="18" customHeight="1">
      <c r="A68" s="85">
        <v>47</v>
      </c>
      <c r="B68" s="86" t="s">
        <v>127</v>
      </c>
      <c r="C68" s="61">
        <v>2085</v>
      </c>
      <c r="D68" s="61">
        <v>1158</v>
      </c>
      <c r="E68" s="61">
        <v>0</v>
      </c>
      <c r="F68" s="61"/>
      <c r="G68" s="61">
        <v>21</v>
      </c>
      <c r="H68" s="61"/>
      <c r="I68" s="61"/>
      <c r="J68" s="59">
        <v>0</v>
      </c>
      <c r="K68" s="61"/>
      <c r="L68" s="436"/>
      <c r="M68" s="462"/>
    </row>
    <row r="69" ht="18" customHeight="1">
      <c r="A69" s="85">
        <v>48</v>
      </c>
      <c r="B69" s="86" t="s">
        <v>128</v>
      </c>
      <c r="C69" s="61">
        <v>1467</v>
      </c>
      <c r="D69" s="61">
        <v>794</v>
      </c>
      <c r="E69" s="61">
        <v>0</v>
      </c>
      <c r="F69" s="61"/>
      <c r="G69" s="61">
        <v>21</v>
      </c>
      <c r="H69" s="61"/>
      <c r="I69" s="61"/>
      <c r="J69" s="59">
        <v>0</v>
      </c>
      <c r="K69" s="61"/>
      <c r="L69" s="436"/>
      <c r="M69" s="462"/>
    </row>
    <row r="70" ht="18" customHeight="1">
      <c r="A70" s="85">
        <v>49</v>
      </c>
      <c r="B70" s="86" t="s">
        <v>129</v>
      </c>
      <c r="C70" s="61">
        <v>2801</v>
      </c>
      <c r="D70" s="61">
        <v>1733</v>
      </c>
      <c r="E70" s="61">
        <v>11</v>
      </c>
      <c r="F70" s="61">
        <v>600</v>
      </c>
      <c r="G70" s="61">
        <v>33</v>
      </c>
      <c r="H70" s="61"/>
      <c r="I70" s="61"/>
      <c r="J70" s="59">
        <v>0</v>
      </c>
      <c r="K70" s="61"/>
      <c r="L70" s="436"/>
      <c r="M70" s="462"/>
    </row>
    <row r="71" ht="18" customHeight="1">
      <c r="A71" s="85">
        <v>50</v>
      </c>
      <c r="B71" s="86" t="s">
        <v>130</v>
      </c>
      <c r="C71" s="61">
        <v>2561</v>
      </c>
      <c r="D71" s="61">
        <v>1355</v>
      </c>
      <c r="E71" s="61">
        <v>0</v>
      </c>
      <c r="F71" s="61"/>
      <c r="G71" s="61">
        <v>48</v>
      </c>
      <c r="H71" s="61"/>
      <c r="I71" s="61"/>
      <c r="J71" s="59">
        <v>0</v>
      </c>
      <c r="K71" s="61"/>
      <c r="L71" s="436"/>
      <c r="M71" s="462"/>
    </row>
    <row r="72" ht="18" customHeight="1">
      <c r="A72" s="85">
        <v>51</v>
      </c>
      <c r="B72" s="86" t="s">
        <v>126</v>
      </c>
      <c r="C72" s="61">
        <v>6411</v>
      </c>
      <c r="D72" s="61">
        <v>2189</v>
      </c>
      <c r="E72" s="61">
        <v>40</v>
      </c>
      <c r="F72" s="61">
        <v>500</v>
      </c>
      <c r="G72" s="61">
        <v>26</v>
      </c>
      <c r="H72" s="61"/>
      <c r="I72" s="61"/>
      <c r="J72" s="59">
        <v>0</v>
      </c>
      <c r="K72" s="61"/>
      <c r="L72" s="436"/>
      <c r="M72" s="462"/>
    </row>
    <row r="73" ht="18" customHeight="1">
      <c r="A73" s="85">
        <v>52</v>
      </c>
      <c r="B73" s="86" t="s">
        <v>135</v>
      </c>
      <c r="C73" s="61">
        <v>1226</v>
      </c>
      <c r="D73" s="61">
        <v>799</v>
      </c>
      <c r="E73" s="61">
        <v>0</v>
      </c>
      <c r="F73" s="61"/>
      <c r="G73" s="61">
        <v>8</v>
      </c>
      <c r="H73" s="61"/>
      <c r="I73" s="61"/>
      <c r="J73" s="59">
        <v>0</v>
      </c>
      <c r="K73" s="61"/>
      <c r="L73" s="436"/>
      <c r="M73" s="462"/>
    </row>
    <row r="74" ht="18" customHeight="1">
      <c r="A74" s="85">
        <v>53</v>
      </c>
      <c r="B74" s="86" t="s">
        <v>133</v>
      </c>
      <c r="C74" s="61">
        <v>7188</v>
      </c>
      <c r="D74" s="61">
        <v>3671</v>
      </c>
      <c r="E74" s="61">
        <v>0</v>
      </c>
      <c r="F74" s="61"/>
      <c r="G74" s="61">
        <v>65</v>
      </c>
      <c r="H74" s="61"/>
      <c r="I74" s="61">
        <v>2000</v>
      </c>
      <c r="J74" s="59">
        <v>-1200</v>
      </c>
      <c r="K74" s="61"/>
      <c r="L74" s="436"/>
      <c r="M74" s="462"/>
    </row>
    <row r="75" ht="18" customHeight="1">
      <c r="A75" s="85">
        <v>54</v>
      </c>
      <c r="B75" s="86" t="s">
        <v>131</v>
      </c>
      <c r="C75" s="61">
        <v>10677</v>
      </c>
      <c r="D75" s="61">
        <v>6367</v>
      </c>
      <c r="E75" s="61">
        <v>0</v>
      </c>
      <c r="F75" s="61"/>
      <c r="G75" s="61">
        <v>126</v>
      </c>
      <c r="H75" s="61"/>
      <c r="I75" s="61">
        <v>2000</v>
      </c>
      <c r="J75" s="59">
        <v>0</v>
      </c>
      <c r="K75" s="61"/>
      <c r="L75" s="436"/>
      <c r="M75" s="462"/>
    </row>
    <row r="76" ht="18" customHeight="1">
      <c r="A76" s="85">
        <v>55</v>
      </c>
      <c r="B76" s="86" t="s">
        <v>132</v>
      </c>
      <c r="C76" s="61">
        <v>8939</v>
      </c>
      <c r="D76" s="61">
        <v>5308</v>
      </c>
      <c r="E76" s="61">
        <v>39</v>
      </c>
      <c r="F76" s="61">
        <v>500</v>
      </c>
      <c r="G76" s="61">
        <v>74</v>
      </c>
      <c r="H76" s="61"/>
      <c r="I76" s="61">
        <v>2000</v>
      </c>
      <c r="J76" s="59">
        <v>0</v>
      </c>
      <c r="K76" s="61"/>
      <c r="L76" s="436"/>
      <c r="M76" s="462"/>
    </row>
    <row r="77" ht="18" customHeight="1">
      <c r="A77" s="85">
        <v>56</v>
      </c>
      <c r="B77" s="86" t="s">
        <v>134</v>
      </c>
      <c r="C77" s="61">
        <v>8742</v>
      </c>
      <c r="D77" s="61">
        <v>4426</v>
      </c>
      <c r="E77" s="61">
        <v>16</v>
      </c>
      <c r="F77" s="61"/>
      <c r="G77" s="61">
        <v>132</v>
      </c>
      <c r="H77" s="61"/>
      <c r="I77" s="61">
        <v>2000</v>
      </c>
      <c r="J77" s="59">
        <v>0</v>
      </c>
      <c r="K77" s="61"/>
      <c r="L77" s="436"/>
      <c r="M77" s="462"/>
    </row>
    <row r="78" s="10" customFormat="1" ht="18" customHeight="1">
      <c r="A78" s="432"/>
      <c r="B78" s="431" t="s">
        <v>136</v>
      </c>
      <c r="C78" s="467">
        <v>48044</v>
      </c>
      <c r="D78" s="467">
        <v>21408</v>
      </c>
      <c r="E78" s="461">
        <v>252</v>
      </c>
      <c r="F78" s="461">
        <v>1000</v>
      </c>
      <c r="G78" s="461">
        <v>229</v>
      </c>
      <c r="H78" s="461">
        <v>0</v>
      </c>
      <c r="I78" s="461">
        <v>4000</v>
      </c>
      <c r="J78" s="170">
        <v>0</v>
      </c>
      <c r="K78" s="461"/>
      <c r="L78" s="432"/>
      <c r="M78" s="464"/>
    </row>
    <row r="79" s="5" customFormat="1" ht="18" customHeight="1">
      <c r="A79" s="436"/>
      <c r="B79" s="452" t="s">
        <v>137</v>
      </c>
      <c r="C79" s="61">
        <v>2198</v>
      </c>
      <c r="D79" s="61">
        <v>2139</v>
      </c>
      <c r="E79" s="61">
        <v>0</v>
      </c>
      <c r="F79" s="61"/>
      <c r="G79" s="61">
        <v>0</v>
      </c>
      <c r="H79" s="61"/>
      <c r="I79" s="61"/>
      <c r="J79" s="59">
        <v>0</v>
      </c>
      <c r="K79" s="61"/>
      <c r="L79" s="436"/>
      <c r="M79" s="462"/>
    </row>
    <row r="80" s="5" customFormat="1" ht="18" customHeight="1">
      <c r="A80" s="436"/>
      <c r="B80" s="452" t="s">
        <v>76</v>
      </c>
      <c r="C80" s="466">
        <v>45846</v>
      </c>
      <c r="D80" s="466">
        <v>19269</v>
      </c>
      <c r="E80" s="61">
        <v>252</v>
      </c>
      <c r="F80" s="61">
        <v>1000</v>
      </c>
      <c r="G80" s="61">
        <v>229</v>
      </c>
      <c r="H80" s="61">
        <v>0</v>
      </c>
      <c r="I80" s="61">
        <v>4000</v>
      </c>
      <c r="J80" s="59">
        <v>0</v>
      </c>
      <c r="K80" s="61"/>
      <c r="L80" s="436"/>
      <c r="M80" s="462"/>
    </row>
    <row r="81" ht="18" customHeight="1">
      <c r="A81" s="85">
        <v>57</v>
      </c>
      <c r="B81" s="86" t="s">
        <v>138</v>
      </c>
      <c r="C81" s="61">
        <v>2809</v>
      </c>
      <c r="D81" s="61">
        <v>1407</v>
      </c>
      <c r="E81" s="61">
        <v>31</v>
      </c>
      <c r="F81" s="61"/>
      <c r="G81" s="61">
        <v>13</v>
      </c>
      <c r="H81" s="61"/>
      <c r="I81" s="61"/>
      <c r="J81" s="59">
        <v>0</v>
      </c>
      <c r="K81" s="61"/>
      <c r="L81" s="436"/>
      <c r="M81" s="462"/>
    </row>
    <row r="82" s="5" customFormat="1" ht="18" customHeight="1">
      <c r="A82" s="85">
        <v>58</v>
      </c>
      <c r="B82" s="86" t="s">
        <v>139</v>
      </c>
      <c r="C82" s="61">
        <v>2828</v>
      </c>
      <c r="D82" s="61">
        <v>1506</v>
      </c>
      <c r="E82" s="61">
        <v>11</v>
      </c>
      <c r="F82" s="61"/>
      <c r="G82" s="61">
        <v>9</v>
      </c>
      <c r="H82" s="61"/>
      <c r="I82" s="61"/>
      <c r="J82" s="59">
        <v>0</v>
      </c>
      <c r="K82" s="61"/>
      <c r="L82" s="436"/>
      <c r="M82" s="462"/>
    </row>
    <row r="83" ht="18" customHeight="1">
      <c r="A83" s="85">
        <v>59</v>
      </c>
      <c r="B83" s="86" t="s">
        <v>140</v>
      </c>
      <c r="C83" s="61">
        <v>3937</v>
      </c>
      <c r="D83" s="61">
        <v>1517</v>
      </c>
      <c r="E83" s="61">
        <v>21</v>
      </c>
      <c r="F83" s="61">
        <v>500</v>
      </c>
      <c r="G83" s="61">
        <v>31</v>
      </c>
      <c r="H83" s="61"/>
      <c r="I83" s="61"/>
      <c r="J83" s="59">
        <v>0</v>
      </c>
      <c r="K83" s="61"/>
      <c r="L83" s="436"/>
      <c r="M83" s="462"/>
    </row>
    <row r="84" ht="49" customHeight="1">
      <c r="A84" s="85">
        <v>60</v>
      </c>
      <c r="B84" s="86" t="s">
        <v>141</v>
      </c>
      <c r="C84" s="61">
        <v>4281</v>
      </c>
      <c r="D84" s="61">
        <v>1327</v>
      </c>
      <c r="E84" s="61">
        <v>0</v>
      </c>
      <c r="F84" s="61"/>
      <c r="G84" s="61">
        <v>20</v>
      </c>
      <c r="H84" s="61"/>
      <c r="I84" s="61"/>
      <c r="J84" s="59">
        <v>0</v>
      </c>
      <c r="K84" s="61"/>
      <c r="L84" s="436"/>
      <c r="M84" s="462" t="s">
        <v>1611</v>
      </c>
    </row>
    <row r="85" ht="18" customHeight="1">
      <c r="A85" s="85">
        <v>61</v>
      </c>
      <c r="B85" s="86" t="s">
        <v>142</v>
      </c>
      <c r="C85" s="61">
        <v>8408</v>
      </c>
      <c r="D85" s="61">
        <v>4195</v>
      </c>
      <c r="E85" s="61">
        <v>48</v>
      </c>
      <c r="F85" s="61"/>
      <c r="G85" s="61">
        <v>79</v>
      </c>
      <c r="H85" s="61"/>
      <c r="I85" s="61">
        <v>2000</v>
      </c>
      <c r="J85" s="59">
        <v>0</v>
      </c>
      <c r="K85" s="61"/>
      <c r="L85" s="436"/>
      <c r="M85" s="462"/>
    </row>
    <row r="86" ht="18" customHeight="1">
      <c r="A86" s="85">
        <v>62</v>
      </c>
      <c r="B86" s="86" t="s">
        <v>143</v>
      </c>
      <c r="C86" s="61">
        <v>5414</v>
      </c>
      <c r="D86" s="61">
        <v>2062</v>
      </c>
      <c r="E86" s="61">
        <v>22</v>
      </c>
      <c r="F86" s="61"/>
      <c r="G86" s="61">
        <v>18</v>
      </c>
      <c r="H86" s="61"/>
      <c r="I86" s="61"/>
      <c r="J86" s="59">
        <v>0</v>
      </c>
      <c r="K86" s="61"/>
      <c r="L86" s="436"/>
      <c r="M86" s="462"/>
    </row>
    <row r="87" s="5" customFormat="1" ht="18" customHeight="1">
      <c r="A87" s="85">
        <v>63</v>
      </c>
      <c r="B87" s="86" t="s">
        <v>144</v>
      </c>
      <c r="C87" s="61">
        <v>13626</v>
      </c>
      <c r="D87" s="61">
        <v>5378</v>
      </c>
      <c r="E87" s="61">
        <v>97</v>
      </c>
      <c r="F87" s="61"/>
      <c r="G87" s="61">
        <v>42</v>
      </c>
      <c r="H87" s="61"/>
      <c r="I87" s="61">
        <v>2000</v>
      </c>
      <c r="J87" s="59">
        <v>0</v>
      </c>
      <c r="K87" s="61"/>
      <c r="L87" s="436"/>
      <c r="M87" s="462"/>
    </row>
    <row r="88" ht="18" customHeight="1">
      <c r="A88" s="85">
        <v>64</v>
      </c>
      <c r="B88" s="86" t="s">
        <v>145</v>
      </c>
      <c r="C88" s="61">
        <v>4543</v>
      </c>
      <c r="D88" s="61">
        <v>1877</v>
      </c>
      <c r="E88" s="61">
        <v>22</v>
      </c>
      <c r="F88" s="61">
        <v>500</v>
      </c>
      <c r="G88" s="61">
        <v>17</v>
      </c>
      <c r="H88" s="61"/>
      <c r="I88" s="61"/>
      <c r="J88" s="59">
        <v>0</v>
      </c>
      <c r="K88" s="61"/>
      <c r="L88" s="436"/>
      <c r="M88" s="462"/>
    </row>
    <row r="89" s="10" customFormat="1" ht="18" customHeight="1">
      <c r="A89" s="432"/>
      <c r="B89" s="431" t="s">
        <v>147</v>
      </c>
      <c r="C89" s="467">
        <v>53534</v>
      </c>
      <c r="D89" s="467">
        <v>28566</v>
      </c>
      <c r="E89" s="461">
        <v>71</v>
      </c>
      <c r="F89" s="461">
        <v>1600</v>
      </c>
      <c r="G89" s="461">
        <v>808</v>
      </c>
      <c r="H89" s="461">
        <v>20000</v>
      </c>
      <c r="I89" s="461">
        <v>2000</v>
      </c>
      <c r="J89" s="170">
        <v>0</v>
      </c>
      <c r="K89" s="461">
        <v>0</v>
      </c>
      <c r="L89" s="432"/>
      <c r="M89" s="464"/>
    </row>
    <row r="90" s="5" customFormat="1" ht="18" customHeight="1">
      <c r="A90" s="436"/>
      <c r="B90" s="452" t="s">
        <v>148</v>
      </c>
      <c r="C90" s="61">
        <v>20059</v>
      </c>
      <c r="D90" s="61">
        <v>20000</v>
      </c>
      <c r="E90" s="61">
        <v>0</v>
      </c>
      <c r="F90" s="61"/>
      <c r="G90" s="61">
        <v>0</v>
      </c>
      <c r="H90" s="61">
        <v>20000</v>
      </c>
      <c r="I90" s="61"/>
      <c r="J90" s="59">
        <v>0</v>
      </c>
      <c r="K90" s="61"/>
      <c r="L90" s="436"/>
      <c r="M90" s="462"/>
    </row>
    <row r="91" s="5" customFormat="1" ht="18" customHeight="1">
      <c r="A91" s="436"/>
      <c r="B91" s="452" t="s">
        <v>76</v>
      </c>
      <c r="C91" s="466">
        <v>33475</v>
      </c>
      <c r="D91" s="466">
        <v>8566</v>
      </c>
      <c r="E91" s="61">
        <v>71</v>
      </c>
      <c r="F91" s="61">
        <v>1600</v>
      </c>
      <c r="G91" s="61">
        <v>808</v>
      </c>
      <c r="H91" s="61">
        <v>0</v>
      </c>
      <c r="I91" s="61">
        <v>2000</v>
      </c>
      <c r="J91" s="59">
        <v>0</v>
      </c>
      <c r="K91" s="61"/>
      <c r="L91" s="436"/>
      <c r="M91" s="462"/>
    </row>
    <row r="92" ht="18" customHeight="1">
      <c r="A92" s="85">
        <v>65</v>
      </c>
      <c r="B92" s="86" t="s">
        <v>149</v>
      </c>
      <c r="C92" s="61">
        <v>927</v>
      </c>
      <c r="D92" s="61">
        <v>505</v>
      </c>
      <c r="E92" s="61">
        <v>14</v>
      </c>
      <c r="F92" s="61">
        <v>600</v>
      </c>
      <c r="G92" s="61">
        <v>10</v>
      </c>
      <c r="H92" s="61">
        <v>0</v>
      </c>
      <c r="I92" s="61"/>
      <c r="J92" s="59">
        <v>0</v>
      </c>
      <c r="K92" s="61"/>
      <c r="L92" s="436"/>
      <c r="M92" s="462"/>
    </row>
    <row r="93" ht="18" customHeight="1">
      <c r="A93" s="85">
        <v>66</v>
      </c>
      <c r="B93" s="86" t="s">
        <v>150</v>
      </c>
      <c r="C93" s="61">
        <v>919</v>
      </c>
      <c r="D93" s="61">
        <v>294</v>
      </c>
      <c r="E93" s="61">
        <v>0</v>
      </c>
      <c r="F93" s="61"/>
      <c r="G93" s="61">
        <v>6</v>
      </c>
      <c r="H93" s="61">
        <v>0</v>
      </c>
      <c r="I93" s="61"/>
      <c r="J93" s="59">
        <v>0</v>
      </c>
      <c r="K93" s="61"/>
      <c r="L93" s="436"/>
      <c r="M93" s="462"/>
    </row>
    <row r="94" ht="18" customHeight="1">
      <c r="A94" s="85">
        <v>67</v>
      </c>
      <c r="B94" s="86" t="s">
        <v>151</v>
      </c>
      <c r="C94" s="61">
        <v>4806</v>
      </c>
      <c r="D94" s="61">
        <v>1107</v>
      </c>
      <c r="E94" s="61">
        <v>0</v>
      </c>
      <c r="F94" s="61"/>
      <c r="G94" s="61">
        <v>51</v>
      </c>
      <c r="H94" s="61">
        <v>0</v>
      </c>
      <c r="I94" s="61"/>
      <c r="J94" s="59">
        <v>0</v>
      </c>
      <c r="K94" s="61"/>
      <c r="L94" s="436"/>
      <c r="M94" s="462"/>
    </row>
    <row r="95" ht="18" customHeight="1">
      <c r="A95" s="85">
        <v>68</v>
      </c>
      <c r="B95" s="86" t="s">
        <v>153</v>
      </c>
      <c r="C95" s="61">
        <v>2514</v>
      </c>
      <c r="D95" s="61">
        <v>576</v>
      </c>
      <c r="E95" s="61">
        <v>10</v>
      </c>
      <c r="F95" s="61"/>
      <c r="G95" s="61">
        <v>28</v>
      </c>
      <c r="H95" s="61">
        <v>0</v>
      </c>
      <c r="I95" s="61"/>
      <c r="J95" s="59">
        <v>0</v>
      </c>
      <c r="K95" s="61"/>
      <c r="L95" s="436"/>
      <c r="M95" s="462"/>
    </row>
    <row r="96" ht="18" customHeight="1">
      <c r="A96" s="85">
        <v>69</v>
      </c>
      <c r="B96" s="86" t="s">
        <v>154</v>
      </c>
      <c r="C96" s="61">
        <v>1694</v>
      </c>
      <c r="D96" s="61">
        <v>389</v>
      </c>
      <c r="E96" s="61">
        <v>0</v>
      </c>
      <c r="F96" s="61"/>
      <c r="G96" s="61">
        <v>34</v>
      </c>
      <c r="H96" s="61">
        <v>0</v>
      </c>
      <c r="I96" s="61"/>
      <c r="J96" s="59">
        <v>0</v>
      </c>
      <c r="K96" s="61"/>
      <c r="L96" s="436"/>
      <c r="M96" s="462"/>
    </row>
    <row r="97" ht="18" customHeight="1">
      <c r="A97" s="85">
        <v>70</v>
      </c>
      <c r="B97" s="86" t="s">
        <v>152</v>
      </c>
      <c r="C97" s="61">
        <v>4695</v>
      </c>
      <c r="D97" s="61">
        <v>783</v>
      </c>
      <c r="E97" s="61">
        <v>13</v>
      </c>
      <c r="F97" s="61"/>
      <c r="G97" s="61">
        <v>105</v>
      </c>
      <c r="H97" s="61">
        <v>0</v>
      </c>
      <c r="I97" s="61"/>
      <c r="J97" s="59">
        <v>0</v>
      </c>
      <c r="K97" s="61"/>
      <c r="L97" s="436"/>
      <c r="M97" s="462"/>
    </row>
    <row r="98" ht="18" customHeight="1">
      <c r="A98" s="85">
        <v>71</v>
      </c>
      <c r="B98" s="86" t="s">
        <v>155</v>
      </c>
      <c r="C98" s="61">
        <v>2476</v>
      </c>
      <c r="D98" s="61">
        <v>406</v>
      </c>
      <c r="E98" s="61">
        <v>0</v>
      </c>
      <c r="F98" s="61"/>
      <c r="G98" s="61">
        <v>16</v>
      </c>
      <c r="H98" s="61">
        <v>0</v>
      </c>
      <c r="I98" s="61"/>
      <c r="J98" s="59">
        <v>0</v>
      </c>
      <c r="K98" s="61"/>
      <c r="L98" s="436"/>
      <c r="M98" s="462"/>
    </row>
    <row r="99" ht="18" customHeight="1">
      <c r="A99" s="85">
        <v>72</v>
      </c>
      <c r="B99" s="86" t="s">
        <v>157</v>
      </c>
      <c r="C99" s="61">
        <v>10651</v>
      </c>
      <c r="D99" s="61">
        <v>3493</v>
      </c>
      <c r="E99" s="61">
        <v>34</v>
      </c>
      <c r="F99" s="61">
        <v>500</v>
      </c>
      <c r="G99" s="61">
        <v>518</v>
      </c>
      <c r="H99" s="61">
        <v>0</v>
      </c>
      <c r="I99" s="61">
        <v>2000</v>
      </c>
      <c r="J99" s="59">
        <v>0</v>
      </c>
      <c r="K99" s="61"/>
      <c r="L99" s="436"/>
      <c r="M99" s="462"/>
    </row>
    <row r="100" ht="18" customHeight="1">
      <c r="A100" s="85">
        <v>73</v>
      </c>
      <c r="B100" s="86" t="s">
        <v>156</v>
      </c>
      <c r="C100" s="61">
        <v>2405</v>
      </c>
      <c r="D100" s="61">
        <v>564</v>
      </c>
      <c r="E100" s="61">
        <v>0</v>
      </c>
      <c r="F100" s="61">
        <v>500</v>
      </c>
      <c r="G100" s="61">
        <v>26</v>
      </c>
      <c r="H100" s="61">
        <v>0</v>
      </c>
      <c r="I100" s="61"/>
      <c r="J100" s="59">
        <v>0</v>
      </c>
      <c r="K100" s="61"/>
      <c r="L100" s="436"/>
      <c r="M100" s="462"/>
    </row>
    <row r="101" ht="55" customHeight="1">
      <c r="A101" s="85">
        <v>74</v>
      </c>
      <c r="B101" s="86" t="s">
        <v>158</v>
      </c>
      <c r="C101" s="61">
        <v>2388</v>
      </c>
      <c r="D101" s="61">
        <v>449</v>
      </c>
      <c r="E101" s="61">
        <v>0</v>
      </c>
      <c r="F101" s="61"/>
      <c r="G101" s="61">
        <v>14</v>
      </c>
      <c r="H101" s="61">
        <v>0</v>
      </c>
      <c r="I101" s="61"/>
      <c r="J101" s="59">
        <v>0</v>
      </c>
      <c r="K101" s="61"/>
      <c r="L101" s="436"/>
      <c r="M101" s="462" t="s">
        <v>1612</v>
      </c>
    </row>
    <row r="102" s="10" customFormat="1" ht="18" customHeight="1">
      <c r="A102" s="432"/>
      <c r="B102" s="431" t="s">
        <v>1613</v>
      </c>
      <c r="C102" s="467">
        <v>15012</v>
      </c>
      <c r="D102" s="467">
        <f>12317-457</f>
        <v>11860</v>
      </c>
      <c r="E102" s="461">
        <v>0</v>
      </c>
      <c r="F102" s="461">
        <v>600</v>
      </c>
      <c r="G102" s="461">
        <v>10</v>
      </c>
      <c r="H102" s="461">
        <v>0</v>
      </c>
      <c r="I102" s="461">
        <v>0</v>
      </c>
      <c r="J102" s="170">
        <v>-642.01333333333298</v>
      </c>
      <c r="K102" s="461"/>
      <c r="L102" s="432"/>
      <c r="M102" s="464"/>
    </row>
    <row r="103" s="5" customFormat="1" ht="18" customHeight="1">
      <c r="A103" s="436"/>
      <c r="B103" s="452" t="s">
        <v>1614</v>
      </c>
      <c r="C103" s="61">
        <v>59</v>
      </c>
      <c r="D103" s="61">
        <v>0</v>
      </c>
      <c r="E103" s="61">
        <v>0</v>
      </c>
      <c r="F103" s="61"/>
      <c r="G103" s="61">
        <v>0</v>
      </c>
      <c r="H103" s="61"/>
      <c r="I103" s="61"/>
      <c r="J103" s="59">
        <v>0</v>
      </c>
      <c r="K103" s="61"/>
      <c r="L103" s="436"/>
      <c r="M103" s="462"/>
    </row>
    <row r="104" s="5" customFormat="1" ht="18" customHeight="1">
      <c r="A104" s="436"/>
      <c r="B104" s="452" t="s">
        <v>76</v>
      </c>
      <c r="C104" s="466">
        <v>14953</v>
      </c>
      <c r="D104" s="466">
        <f>12317-457</f>
        <v>11860</v>
      </c>
      <c r="E104" s="61">
        <v>0</v>
      </c>
      <c r="F104" s="61">
        <v>600</v>
      </c>
      <c r="G104" s="61">
        <v>10</v>
      </c>
      <c r="H104" s="61">
        <v>0</v>
      </c>
      <c r="I104" s="61">
        <v>0</v>
      </c>
      <c r="J104" s="59">
        <v>-642.01333333333298</v>
      </c>
      <c r="K104" s="61"/>
      <c r="L104" s="436"/>
      <c r="M104" s="462"/>
    </row>
    <row r="105" ht="18" customHeight="1">
      <c r="A105" s="85">
        <v>75</v>
      </c>
      <c r="B105" s="86" t="s">
        <v>161</v>
      </c>
      <c r="C105" s="61">
        <v>2223</v>
      </c>
      <c r="D105" s="61">
        <v>1813</v>
      </c>
      <c r="E105" s="61">
        <v>0</v>
      </c>
      <c r="F105" s="61">
        <v>600</v>
      </c>
      <c r="G105" s="61">
        <v>0</v>
      </c>
      <c r="H105" s="61"/>
      <c r="I105" s="61"/>
      <c r="J105" s="59">
        <v>0</v>
      </c>
      <c r="K105" s="61"/>
      <c r="L105" s="436"/>
      <c r="M105" s="462"/>
    </row>
    <row r="106" ht="18" customHeight="1">
      <c r="A106" s="85">
        <v>76</v>
      </c>
      <c r="B106" s="86" t="s">
        <v>162</v>
      </c>
      <c r="C106" s="61">
        <v>2242</v>
      </c>
      <c r="D106" s="61">
        <v>1367</v>
      </c>
      <c r="E106" s="61">
        <v>0</v>
      </c>
      <c r="F106" s="61"/>
      <c r="G106" s="61">
        <v>1</v>
      </c>
      <c r="H106" s="61"/>
      <c r="I106" s="61"/>
      <c r="J106" s="59">
        <v>-231.713333333333</v>
      </c>
      <c r="K106" s="61"/>
      <c r="L106" s="436"/>
      <c r="M106" s="462"/>
    </row>
    <row r="107" ht="18" customHeight="1">
      <c r="A107" s="85">
        <v>77</v>
      </c>
      <c r="B107" s="86" t="s">
        <v>163</v>
      </c>
      <c r="C107" s="61">
        <v>10488</v>
      </c>
      <c r="D107" s="61">
        <f>9137-457</f>
        <v>8680</v>
      </c>
      <c r="E107" s="61">
        <v>0</v>
      </c>
      <c r="F107" s="61"/>
      <c r="G107" s="61">
        <v>9</v>
      </c>
      <c r="H107" s="61"/>
      <c r="I107" s="61"/>
      <c r="J107" s="59">
        <v>-410.30000000000001</v>
      </c>
      <c r="K107" s="61"/>
      <c r="L107" s="436"/>
      <c r="M107" s="462"/>
    </row>
    <row r="108" s="10" customFormat="1" ht="18" customHeight="1">
      <c r="A108" s="432"/>
      <c r="B108" s="431" t="s">
        <v>164</v>
      </c>
      <c r="C108" s="467">
        <v>25588</v>
      </c>
      <c r="D108" s="467">
        <v>13657</v>
      </c>
      <c r="E108" s="461">
        <v>107</v>
      </c>
      <c r="F108" s="461">
        <v>1100</v>
      </c>
      <c r="G108" s="461">
        <v>312</v>
      </c>
      <c r="H108" s="461">
        <v>0</v>
      </c>
      <c r="I108" s="461">
        <v>2000</v>
      </c>
      <c r="J108" s="170">
        <v>-900</v>
      </c>
      <c r="K108" s="461"/>
      <c r="L108" s="432"/>
      <c r="M108" s="464"/>
    </row>
    <row r="109" s="5" customFormat="1" ht="18" customHeight="1">
      <c r="A109" s="436"/>
      <c r="B109" s="452" t="s">
        <v>165</v>
      </c>
      <c r="C109" s="61">
        <v>39</v>
      </c>
      <c r="D109" s="61">
        <v>0</v>
      </c>
      <c r="E109" s="61">
        <v>0</v>
      </c>
      <c r="F109" s="61"/>
      <c r="G109" s="61">
        <v>0</v>
      </c>
      <c r="H109" s="61"/>
      <c r="I109" s="61"/>
      <c r="J109" s="59">
        <v>0</v>
      </c>
      <c r="K109" s="61"/>
      <c r="L109" s="436"/>
      <c r="M109" s="462"/>
    </row>
    <row r="110" s="5" customFormat="1" ht="18" customHeight="1">
      <c r="A110" s="436"/>
      <c r="B110" s="452" t="s">
        <v>76</v>
      </c>
      <c r="C110" s="466">
        <v>25549</v>
      </c>
      <c r="D110" s="466">
        <v>13657</v>
      </c>
      <c r="E110" s="61">
        <v>107</v>
      </c>
      <c r="F110" s="61">
        <v>1100</v>
      </c>
      <c r="G110" s="61">
        <v>312</v>
      </c>
      <c r="H110" s="61">
        <v>0</v>
      </c>
      <c r="I110" s="61">
        <v>2000</v>
      </c>
      <c r="J110" s="59">
        <v>-900</v>
      </c>
      <c r="K110" s="61"/>
      <c r="L110" s="436"/>
      <c r="M110" s="462"/>
    </row>
    <row r="111" s="5" customFormat="1" ht="18" customHeight="1">
      <c r="A111" s="85">
        <v>78</v>
      </c>
      <c r="B111" s="86" t="s">
        <v>166</v>
      </c>
      <c r="C111" s="61">
        <v>2476</v>
      </c>
      <c r="D111" s="61">
        <v>1661</v>
      </c>
      <c r="E111" s="61">
        <v>0</v>
      </c>
      <c r="F111" s="61">
        <v>600</v>
      </c>
      <c r="G111" s="61">
        <v>26</v>
      </c>
      <c r="H111" s="61"/>
      <c r="I111" s="61"/>
      <c r="J111" s="59">
        <v>0</v>
      </c>
      <c r="K111" s="61"/>
      <c r="L111" s="436"/>
      <c r="M111" s="462"/>
    </row>
    <row r="112" s="5" customFormat="1" ht="18" customHeight="1">
      <c r="A112" s="85">
        <v>79</v>
      </c>
      <c r="B112" s="86" t="s">
        <v>167</v>
      </c>
      <c r="C112" s="61">
        <v>1915</v>
      </c>
      <c r="D112" s="61">
        <v>997</v>
      </c>
      <c r="E112" s="61">
        <v>18</v>
      </c>
      <c r="F112" s="61"/>
      <c r="G112" s="61">
        <v>19</v>
      </c>
      <c r="H112" s="61"/>
      <c r="I112" s="61"/>
      <c r="J112" s="59">
        <v>0</v>
      </c>
      <c r="K112" s="61"/>
      <c r="L112" s="436"/>
      <c r="M112" s="462"/>
    </row>
    <row r="113" s="5" customFormat="1" ht="18" customHeight="1">
      <c r="A113" s="85">
        <v>80</v>
      </c>
      <c r="B113" s="86" t="s">
        <v>168</v>
      </c>
      <c r="C113" s="61">
        <v>1443</v>
      </c>
      <c r="D113" s="61">
        <v>665</v>
      </c>
      <c r="E113" s="61">
        <v>11</v>
      </c>
      <c r="F113" s="61"/>
      <c r="G113" s="61">
        <v>12</v>
      </c>
      <c r="H113" s="61"/>
      <c r="I113" s="61"/>
      <c r="J113" s="59">
        <v>0</v>
      </c>
      <c r="K113" s="61"/>
      <c r="L113" s="436"/>
      <c r="M113" s="462"/>
    </row>
    <row r="114" s="5" customFormat="1" ht="18" customHeight="1">
      <c r="A114" s="85">
        <v>81</v>
      </c>
      <c r="B114" s="86" t="s">
        <v>169</v>
      </c>
      <c r="C114" s="61">
        <v>2348</v>
      </c>
      <c r="D114" s="61">
        <v>1083</v>
      </c>
      <c r="E114" s="61">
        <v>0</v>
      </c>
      <c r="F114" s="61"/>
      <c r="G114" s="61">
        <v>18</v>
      </c>
      <c r="H114" s="61"/>
      <c r="I114" s="61"/>
      <c r="J114" s="59">
        <v>0</v>
      </c>
      <c r="K114" s="61"/>
      <c r="L114" s="436"/>
      <c r="M114" s="462"/>
    </row>
    <row r="115" s="5" customFormat="1" ht="18" customHeight="1">
      <c r="A115" s="85">
        <v>82</v>
      </c>
      <c r="B115" s="86" t="s">
        <v>170</v>
      </c>
      <c r="C115" s="61">
        <v>2024</v>
      </c>
      <c r="D115" s="61">
        <v>1323</v>
      </c>
      <c r="E115" s="61">
        <v>0</v>
      </c>
      <c r="F115" s="61">
        <v>500</v>
      </c>
      <c r="G115" s="61">
        <v>4</v>
      </c>
      <c r="H115" s="61"/>
      <c r="I115" s="61"/>
      <c r="J115" s="59">
        <v>0</v>
      </c>
      <c r="K115" s="61"/>
      <c r="L115" s="436"/>
      <c r="M115" s="462"/>
    </row>
    <row r="116" s="5" customFormat="1" ht="18" customHeight="1">
      <c r="A116" s="85">
        <v>83</v>
      </c>
      <c r="B116" s="86" t="s">
        <v>171</v>
      </c>
      <c r="C116" s="61">
        <v>2444</v>
      </c>
      <c r="D116" s="61">
        <v>1357</v>
      </c>
      <c r="E116" s="61">
        <v>14</v>
      </c>
      <c r="F116" s="61"/>
      <c r="G116" s="61">
        <v>56</v>
      </c>
      <c r="H116" s="61"/>
      <c r="I116" s="61"/>
      <c r="J116" s="59">
        <v>0</v>
      </c>
      <c r="K116" s="61"/>
      <c r="L116" s="436"/>
      <c r="M116" s="462"/>
    </row>
    <row r="117" s="5" customFormat="1" ht="18" customHeight="1">
      <c r="A117" s="85">
        <v>84</v>
      </c>
      <c r="B117" s="86" t="s">
        <v>172</v>
      </c>
      <c r="C117" s="61">
        <v>1613</v>
      </c>
      <c r="D117" s="61">
        <v>909</v>
      </c>
      <c r="E117" s="61">
        <v>0</v>
      </c>
      <c r="F117" s="61"/>
      <c r="G117" s="61">
        <v>20</v>
      </c>
      <c r="H117" s="61"/>
      <c r="I117" s="61"/>
      <c r="J117" s="59">
        <v>0</v>
      </c>
      <c r="K117" s="61"/>
      <c r="L117" s="436"/>
      <c r="M117" s="462"/>
    </row>
    <row r="118" s="5" customFormat="1" ht="18" customHeight="1">
      <c r="A118" s="85">
        <v>85</v>
      </c>
      <c r="B118" s="86" t="s">
        <v>173</v>
      </c>
      <c r="C118" s="61">
        <v>2184</v>
      </c>
      <c r="D118" s="61">
        <v>737</v>
      </c>
      <c r="E118" s="61">
        <v>25</v>
      </c>
      <c r="F118" s="61"/>
      <c r="G118" s="61">
        <v>17</v>
      </c>
      <c r="H118" s="61"/>
      <c r="I118" s="61"/>
      <c r="J118" s="59">
        <v>0</v>
      </c>
      <c r="K118" s="61"/>
      <c r="L118" s="436"/>
      <c r="M118" s="462"/>
    </row>
    <row r="119" ht="18" customHeight="1">
      <c r="A119" s="85">
        <v>86</v>
      </c>
      <c r="B119" s="86" t="s">
        <v>174</v>
      </c>
      <c r="C119" s="61">
        <v>7652</v>
      </c>
      <c r="D119" s="61">
        <v>4080</v>
      </c>
      <c r="E119" s="61">
        <v>22</v>
      </c>
      <c r="F119" s="61"/>
      <c r="G119" s="61">
        <v>130</v>
      </c>
      <c r="H119" s="61"/>
      <c r="I119" s="61">
        <v>2000</v>
      </c>
      <c r="J119" s="59">
        <v>-900</v>
      </c>
      <c r="K119" s="61"/>
      <c r="L119" s="436"/>
      <c r="M119" s="462"/>
    </row>
    <row r="120" ht="18" customHeight="1">
      <c r="A120" s="85">
        <v>87</v>
      </c>
      <c r="B120" s="86" t="s">
        <v>175</v>
      </c>
      <c r="C120" s="61">
        <v>1450</v>
      </c>
      <c r="D120" s="61">
        <v>845</v>
      </c>
      <c r="E120" s="61">
        <v>17</v>
      </c>
      <c r="F120" s="61"/>
      <c r="G120" s="61">
        <v>10</v>
      </c>
      <c r="H120" s="61"/>
      <c r="I120" s="61"/>
      <c r="J120" s="59">
        <v>0</v>
      </c>
      <c r="K120" s="61"/>
      <c r="L120" s="436"/>
      <c r="M120" s="462"/>
    </row>
    <row r="121" s="10" customFormat="1" ht="18" customHeight="1">
      <c r="A121" s="432"/>
      <c r="B121" s="431" t="s">
        <v>176</v>
      </c>
      <c r="C121" s="467">
        <v>32515</v>
      </c>
      <c r="D121" s="467">
        <v>12691</v>
      </c>
      <c r="E121" s="461">
        <v>20</v>
      </c>
      <c r="F121" s="461">
        <v>1600</v>
      </c>
      <c r="G121" s="461">
        <v>945</v>
      </c>
      <c r="H121" s="461">
        <v>0</v>
      </c>
      <c r="I121" s="461">
        <v>0</v>
      </c>
      <c r="J121" s="170">
        <v>-1508.55997366667</v>
      </c>
      <c r="K121" s="461"/>
      <c r="L121" s="432"/>
      <c r="M121" s="464"/>
    </row>
    <row r="122" s="5" customFormat="1" ht="18" customHeight="1">
      <c r="A122" s="436"/>
      <c r="B122" s="452" t="s">
        <v>177</v>
      </c>
      <c r="C122" s="61">
        <v>1328</v>
      </c>
      <c r="D122" s="61">
        <v>1269</v>
      </c>
      <c r="E122" s="61">
        <v>0</v>
      </c>
      <c r="F122" s="61"/>
      <c r="G122" s="61">
        <v>0</v>
      </c>
      <c r="H122" s="61"/>
      <c r="I122" s="61"/>
      <c r="J122" s="59">
        <v>0</v>
      </c>
      <c r="K122" s="61"/>
      <c r="L122" s="436"/>
      <c r="M122" s="462"/>
    </row>
    <row r="123" s="5" customFormat="1" ht="18" customHeight="1">
      <c r="A123" s="436"/>
      <c r="B123" s="452" t="s">
        <v>76</v>
      </c>
      <c r="C123" s="466">
        <v>31187</v>
      </c>
      <c r="D123" s="466">
        <v>11422</v>
      </c>
      <c r="E123" s="61">
        <v>20</v>
      </c>
      <c r="F123" s="61">
        <v>1600</v>
      </c>
      <c r="G123" s="61">
        <v>945</v>
      </c>
      <c r="H123" s="61">
        <v>0</v>
      </c>
      <c r="I123" s="61">
        <v>0</v>
      </c>
      <c r="J123" s="59">
        <v>-1508.55997366667</v>
      </c>
      <c r="K123" s="61"/>
      <c r="L123" s="436"/>
      <c r="M123" s="462"/>
    </row>
    <row r="124" ht="18" customHeight="1">
      <c r="A124" s="85">
        <v>88</v>
      </c>
      <c r="B124" s="86" t="s">
        <v>178</v>
      </c>
      <c r="C124" s="61">
        <v>933</v>
      </c>
      <c r="D124" s="61">
        <v>400</v>
      </c>
      <c r="E124" s="61">
        <v>0</v>
      </c>
      <c r="F124" s="61"/>
      <c r="G124" s="61">
        <v>22</v>
      </c>
      <c r="H124" s="61"/>
      <c r="I124" s="61"/>
      <c r="J124" s="59">
        <v>0</v>
      </c>
      <c r="K124" s="61"/>
      <c r="L124" s="436"/>
      <c r="M124" s="462"/>
    </row>
    <row r="125" s="5" customFormat="1" ht="18" customHeight="1">
      <c r="A125" s="85">
        <v>89</v>
      </c>
      <c r="B125" s="86" t="s">
        <v>179</v>
      </c>
      <c r="C125" s="61">
        <v>1011</v>
      </c>
      <c r="D125" s="61">
        <v>437</v>
      </c>
      <c r="E125" s="61">
        <v>0</v>
      </c>
      <c r="F125" s="61"/>
      <c r="G125" s="61">
        <v>24</v>
      </c>
      <c r="H125" s="61"/>
      <c r="I125" s="61"/>
      <c r="J125" s="59">
        <v>-146.31</v>
      </c>
      <c r="K125" s="61"/>
      <c r="L125" s="436"/>
      <c r="M125" s="462"/>
    </row>
    <row r="126" ht="18" customHeight="1">
      <c r="A126" s="85">
        <v>90</v>
      </c>
      <c r="B126" s="86" t="s">
        <v>180</v>
      </c>
      <c r="C126" s="61">
        <v>1503</v>
      </c>
      <c r="D126" s="61">
        <v>426</v>
      </c>
      <c r="E126" s="61">
        <v>0</v>
      </c>
      <c r="F126" s="61"/>
      <c r="G126" s="61">
        <v>10</v>
      </c>
      <c r="H126" s="61"/>
      <c r="I126" s="61"/>
      <c r="J126" s="59">
        <v>-247.98333333333301</v>
      </c>
      <c r="K126" s="61"/>
      <c r="L126" s="436"/>
      <c r="M126" s="462"/>
    </row>
    <row r="127" ht="18" customHeight="1">
      <c r="A127" s="85">
        <v>91</v>
      </c>
      <c r="B127" s="86" t="s">
        <v>181</v>
      </c>
      <c r="C127" s="61">
        <v>2399</v>
      </c>
      <c r="D127" s="61">
        <v>1405</v>
      </c>
      <c r="E127" s="61">
        <v>0</v>
      </c>
      <c r="F127" s="61">
        <v>500</v>
      </c>
      <c r="G127" s="61">
        <v>145</v>
      </c>
      <c r="H127" s="61"/>
      <c r="I127" s="61"/>
      <c r="J127" s="59">
        <v>0</v>
      </c>
      <c r="K127" s="61"/>
      <c r="L127" s="436"/>
      <c r="M127" s="462"/>
    </row>
    <row r="128" ht="18" customHeight="1">
      <c r="A128" s="85">
        <v>92</v>
      </c>
      <c r="B128" s="86" t="s">
        <v>182</v>
      </c>
      <c r="C128" s="61">
        <v>4737</v>
      </c>
      <c r="D128" s="61">
        <v>1841</v>
      </c>
      <c r="E128" s="61">
        <v>0</v>
      </c>
      <c r="F128" s="61"/>
      <c r="G128" s="61">
        <v>133</v>
      </c>
      <c r="H128" s="61"/>
      <c r="I128" s="61"/>
      <c r="J128" s="59">
        <v>0</v>
      </c>
      <c r="K128" s="61"/>
      <c r="L128" s="436"/>
      <c r="M128" s="462"/>
    </row>
    <row r="129" ht="18" customHeight="1">
      <c r="A129" s="85">
        <v>93</v>
      </c>
      <c r="B129" s="86" t="s">
        <v>183</v>
      </c>
      <c r="C129" s="61">
        <v>3817</v>
      </c>
      <c r="D129" s="61">
        <v>1272</v>
      </c>
      <c r="E129" s="61">
        <v>0</v>
      </c>
      <c r="F129" s="61">
        <v>500</v>
      </c>
      <c r="G129" s="61">
        <v>26</v>
      </c>
      <c r="H129" s="61"/>
      <c r="I129" s="61"/>
      <c r="J129" s="59">
        <v>-532.35666666666702</v>
      </c>
      <c r="K129" s="61"/>
      <c r="L129" s="436"/>
      <c r="M129" s="462"/>
    </row>
    <row r="130" ht="18" customHeight="1">
      <c r="A130" s="85">
        <v>94</v>
      </c>
      <c r="B130" s="86" t="s">
        <v>184</v>
      </c>
      <c r="C130" s="61">
        <v>2598</v>
      </c>
      <c r="D130" s="61">
        <v>736</v>
      </c>
      <c r="E130" s="61">
        <v>0</v>
      </c>
      <c r="F130" s="61"/>
      <c r="G130" s="61">
        <v>138</v>
      </c>
      <c r="H130" s="61"/>
      <c r="I130" s="61"/>
      <c r="J130" s="59">
        <v>-191.61000000000001</v>
      </c>
      <c r="K130" s="61"/>
      <c r="L130" s="436"/>
      <c r="M130" s="462"/>
    </row>
    <row r="131" ht="18" customHeight="1">
      <c r="A131" s="85">
        <v>95</v>
      </c>
      <c r="B131" s="86" t="s">
        <v>185</v>
      </c>
      <c r="C131" s="61">
        <v>2351</v>
      </c>
      <c r="D131" s="61">
        <v>620</v>
      </c>
      <c r="E131" s="61">
        <v>0</v>
      </c>
      <c r="F131" s="61"/>
      <c r="G131" s="61">
        <v>63</v>
      </c>
      <c r="H131" s="61"/>
      <c r="I131" s="61"/>
      <c r="J131" s="59">
        <v>-127.526666666667</v>
      </c>
      <c r="K131" s="61"/>
      <c r="L131" s="436"/>
      <c r="M131" s="462"/>
    </row>
    <row r="132" ht="18" customHeight="1">
      <c r="A132" s="85">
        <v>96</v>
      </c>
      <c r="B132" s="86" t="s">
        <v>186</v>
      </c>
      <c r="C132" s="61">
        <v>4434</v>
      </c>
      <c r="D132" s="61">
        <v>1709</v>
      </c>
      <c r="E132" s="61">
        <v>20</v>
      </c>
      <c r="F132" s="61">
        <v>600</v>
      </c>
      <c r="G132" s="61">
        <v>107</v>
      </c>
      <c r="H132" s="61"/>
      <c r="I132" s="61"/>
      <c r="J132" s="59">
        <v>-262.77330699999999</v>
      </c>
      <c r="K132" s="61"/>
      <c r="L132" s="436"/>
      <c r="M132" s="462"/>
    </row>
    <row r="133" s="5" customFormat="1" ht="18" customHeight="1">
      <c r="A133" s="85">
        <v>97</v>
      </c>
      <c r="B133" s="86" t="s">
        <v>187</v>
      </c>
      <c r="C133" s="61">
        <v>2550</v>
      </c>
      <c r="D133" s="61">
        <v>774</v>
      </c>
      <c r="E133" s="61">
        <v>0</v>
      </c>
      <c r="F133" s="61"/>
      <c r="G133" s="61">
        <v>57</v>
      </c>
      <c r="H133" s="61"/>
      <c r="I133" s="61"/>
      <c r="J133" s="59">
        <v>0</v>
      </c>
      <c r="K133" s="61"/>
      <c r="L133" s="436"/>
      <c r="M133" s="462"/>
    </row>
    <row r="134" ht="18" customHeight="1">
      <c r="A134" s="85">
        <v>98</v>
      </c>
      <c r="B134" s="86" t="s">
        <v>188</v>
      </c>
      <c r="C134" s="61">
        <v>3012</v>
      </c>
      <c r="D134" s="61">
        <v>929</v>
      </c>
      <c r="E134" s="61">
        <v>0</v>
      </c>
      <c r="F134" s="61"/>
      <c r="G134" s="61">
        <v>100</v>
      </c>
      <c r="H134" s="61"/>
      <c r="I134" s="61"/>
      <c r="J134" s="59">
        <v>0</v>
      </c>
      <c r="K134" s="61"/>
      <c r="L134" s="436"/>
      <c r="M134" s="462"/>
    </row>
    <row r="135" s="5" customFormat="1" ht="18" customHeight="1">
      <c r="A135" s="85">
        <v>99</v>
      </c>
      <c r="B135" s="86" t="s">
        <v>189</v>
      </c>
      <c r="C135" s="61">
        <v>1842</v>
      </c>
      <c r="D135" s="61">
        <v>873</v>
      </c>
      <c r="E135" s="61">
        <v>0</v>
      </c>
      <c r="F135" s="61"/>
      <c r="G135" s="61">
        <v>120</v>
      </c>
      <c r="H135" s="61"/>
      <c r="I135" s="61"/>
      <c r="J135" s="59">
        <v>0</v>
      </c>
      <c r="K135" s="61"/>
      <c r="L135" s="436"/>
      <c r="M135" s="462"/>
    </row>
    <row r="136" s="10" customFormat="1" ht="18" customHeight="1">
      <c r="A136" s="432"/>
      <c r="B136" s="431" t="s">
        <v>190</v>
      </c>
      <c r="C136" s="467">
        <v>21943</v>
      </c>
      <c r="D136" s="467">
        <v>9294</v>
      </c>
      <c r="E136" s="461">
        <v>216</v>
      </c>
      <c r="F136" s="461">
        <v>1100</v>
      </c>
      <c r="G136" s="461">
        <v>308</v>
      </c>
      <c r="H136" s="461">
        <v>0</v>
      </c>
      <c r="I136" s="461">
        <v>0</v>
      </c>
      <c r="J136" s="170">
        <v>0</v>
      </c>
      <c r="K136" s="461"/>
      <c r="L136" s="432"/>
      <c r="M136" s="464"/>
    </row>
    <row r="137" s="5" customFormat="1" ht="18" customHeight="1">
      <c r="A137" s="436"/>
      <c r="B137" s="452" t="s">
        <v>191</v>
      </c>
      <c r="C137" s="61">
        <v>59</v>
      </c>
      <c r="D137" s="61">
        <v>0</v>
      </c>
      <c r="E137" s="61">
        <v>0</v>
      </c>
      <c r="F137" s="61"/>
      <c r="G137" s="61">
        <v>0</v>
      </c>
      <c r="H137" s="61"/>
      <c r="I137" s="61"/>
      <c r="J137" s="59">
        <v>0</v>
      </c>
      <c r="K137" s="61"/>
      <c r="L137" s="436"/>
      <c r="M137" s="462"/>
    </row>
    <row r="138" s="5" customFormat="1" ht="18" customHeight="1">
      <c r="A138" s="436"/>
      <c r="B138" s="452" t="s">
        <v>76</v>
      </c>
      <c r="C138" s="466">
        <v>21884</v>
      </c>
      <c r="D138" s="466">
        <v>9294</v>
      </c>
      <c r="E138" s="61">
        <v>216</v>
      </c>
      <c r="F138" s="61">
        <v>1100</v>
      </c>
      <c r="G138" s="61">
        <v>308</v>
      </c>
      <c r="H138" s="61">
        <v>0</v>
      </c>
      <c r="I138" s="61">
        <v>0</v>
      </c>
      <c r="J138" s="59">
        <v>0</v>
      </c>
      <c r="K138" s="61"/>
      <c r="L138" s="436"/>
      <c r="M138" s="462"/>
    </row>
    <row r="139" ht="18" customHeight="1">
      <c r="A139" s="85">
        <v>100</v>
      </c>
      <c r="B139" s="86" t="s">
        <v>192</v>
      </c>
      <c r="C139" s="61">
        <v>5011</v>
      </c>
      <c r="D139" s="61">
        <v>2163</v>
      </c>
      <c r="E139" s="61">
        <v>74</v>
      </c>
      <c r="F139" s="61"/>
      <c r="G139" s="61">
        <v>36</v>
      </c>
      <c r="H139" s="61"/>
      <c r="I139" s="61"/>
      <c r="J139" s="59">
        <v>0</v>
      </c>
      <c r="K139" s="61"/>
      <c r="L139" s="436"/>
      <c r="M139" s="462"/>
    </row>
    <row r="140" ht="18" customHeight="1">
      <c r="A140" s="85">
        <v>101</v>
      </c>
      <c r="B140" s="86" t="s">
        <v>193</v>
      </c>
      <c r="C140" s="61">
        <v>6294</v>
      </c>
      <c r="D140" s="61">
        <v>1864</v>
      </c>
      <c r="E140" s="61">
        <v>132</v>
      </c>
      <c r="F140" s="61"/>
      <c r="G140" s="61">
        <v>139</v>
      </c>
      <c r="H140" s="61"/>
      <c r="I140" s="61"/>
      <c r="J140" s="59">
        <v>0</v>
      </c>
      <c r="K140" s="61"/>
      <c r="L140" s="436"/>
      <c r="M140" s="462"/>
    </row>
    <row r="141" ht="18" customHeight="1">
      <c r="A141" s="85">
        <v>102</v>
      </c>
      <c r="B141" s="86" t="s">
        <v>194</v>
      </c>
      <c r="C141" s="61">
        <v>3241</v>
      </c>
      <c r="D141" s="61">
        <v>1673</v>
      </c>
      <c r="E141" s="61">
        <v>0</v>
      </c>
      <c r="F141" s="61">
        <v>600</v>
      </c>
      <c r="G141" s="61">
        <v>23</v>
      </c>
      <c r="H141" s="61"/>
      <c r="I141" s="61"/>
      <c r="J141" s="59">
        <v>0</v>
      </c>
      <c r="K141" s="61"/>
      <c r="L141" s="436"/>
      <c r="M141" s="462"/>
    </row>
    <row r="142" ht="18" customHeight="1">
      <c r="A142" s="85">
        <v>103</v>
      </c>
      <c r="B142" s="86" t="s">
        <v>196</v>
      </c>
      <c r="C142" s="61">
        <v>4373</v>
      </c>
      <c r="D142" s="61">
        <v>2186</v>
      </c>
      <c r="E142" s="61">
        <v>0</v>
      </c>
      <c r="F142" s="61">
        <v>500</v>
      </c>
      <c r="G142" s="61">
        <v>65</v>
      </c>
      <c r="H142" s="61"/>
      <c r="I142" s="61"/>
      <c r="J142" s="59">
        <v>0</v>
      </c>
      <c r="K142" s="61"/>
      <c r="L142" s="436"/>
      <c r="M142" s="462"/>
    </row>
    <row r="143" s="5" customFormat="1" ht="18" customHeight="1">
      <c r="A143" s="85">
        <v>104</v>
      </c>
      <c r="B143" s="86" t="s">
        <v>195</v>
      </c>
      <c r="C143" s="61">
        <v>2965</v>
      </c>
      <c r="D143" s="61">
        <v>1408</v>
      </c>
      <c r="E143" s="61">
        <v>10</v>
      </c>
      <c r="F143" s="61"/>
      <c r="G143" s="61">
        <v>45</v>
      </c>
      <c r="H143" s="61"/>
      <c r="I143" s="61"/>
      <c r="J143" s="59">
        <v>0</v>
      </c>
      <c r="K143" s="61"/>
      <c r="L143" s="436"/>
      <c r="M143" s="462"/>
    </row>
    <row r="144" s="10" customFormat="1" ht="18" customHeight="1">
      <c r="A144" s="432"/>
      <c r="B144" s="431" t="s">
        <v>197</v>
      </c>
      <c r="C144" s="467">
        <v>20669</v>
      </c>
      <c r="D144" s="467">
        <v>11522</v>
      </c>
      <c r="E144" s="461">
        <v>0</v>
      </c>
      <c r="F144" s="461">
        <v>500</v>
      </c>
      <c r="G144" s="461">
        <v>77</v>
      </c>
      <c r="H144" s="461">
        <v>0</v>
      </c>
      <c r="I144" s="461">
        <v>0</v>
      </c>
      <c r="J144" s="170">
        <v>-529.04666666666697</v>
      </c>
      <c r="K144" s="461">
        <v>0</v>
      </c>
      <c r="L144" s="436">
        <v>1000</v>
      </c>
      <c r="M144" s="464"/>
    </row>
    <row r="145" s="5" customFormat="1" ht="18" customHeight="1">
      <c r="A145" s="436"/>
      <c r="B145" s="452" t="s">
        <v>198</v>
      </c>
      <c r="C145" s="61">
        <v>59</v>
      </c>
      <c r="D145" s="61">
        <v>0</v>
      </c>
      <c r="E145" s="61">
        <v>0</v>
      </c>
      <c r="F145" s="61"/>
      <c r="G145" s="61">
        <v>0</v>
      </c>
      <c r="H145" s="61"/>
      <c r="I145" s="61"/>
      <c r="J145" s="59">
        <v>0</v>
      </c>
      <c r="K145" s="61"/>
      <c r="L145" s="436"/>
      <c r="M145" s="462"/>
    </row>
    <row r="146" s="5" customFormat="1" ht="18" customHeight="1">
      <c r="A146" s="436"/>
      <c r="B146" s="452" t="s">
        <v>76</v>
      </c>
      <c r="C146" s="466">
        <v>20610</v>
      </c>
      <c r="D146" s="466">
        <v>11522</v>
      </c>
      <c r="E146" s="61">
        <v>0</v>
      </c>
      <c r="F146" s="61">
        <v>500</v>
      </c>
      <c r="G146" s="61">
        <v>77</v>
      </c>
      <c r="H146" s="61">
        <v>0</v>
      </c>
      <c r="I146" s="61">
        <v>0</v>
      </c>
      <c r="J146" s="59">
        <v>-529.04666666666697</v>
      </c>
      <c r="K146" s="61">
        <v>0</v>
      </c>
      <c r="L146" s="436">
        <v>1000</v>
      </c>
      <c r="M146" s="462"/>
    </row>
    <row r="147" ht="18" customHeight="1">
      <c r="A147" s="85">
        <v>105</v>
      </c>
      <c r="B147" s="86" t="s">
        <v>200</v>
      </c>
      <c r="C147" s="61">
        <v>2732</v>
      </c>
      <c r="D147" s="61">
        <v>1047</v>
      </c>
      <c r="E147" s="61">
        <v>0</v>
      </c>
      <c r="F147" s="61"/>
      <c r="G147" s="61">
        <v>5</v>
      </c>
      <c r="H147" s="61"/>
      <c r="I147" s="61"/>
      <c r="J147" s="59">
        <v>-103.73999999999999</v>
      </c>
      <c r="K147" s="61"/>
      <c r="L147" s="436"/>
      <c r="M147" s="462"/>
    </row>
    <row r="148" ht="18" customHeight="1">
      <c r="A148" s="85">
        <v>106</v>
      </c>
      <c r="B148" s="86" t="s">
        <v>201</v>
      </c>
      <c r="C148" s="61">
        <v>1690</v>
      </c>
      <c r="D148" s="61">
        <v>-741</v>
      </c>
      <c r="E148" s="61">
        <v>0</v>
      </c>
      <c r="F148" s="61"/>
      <c r="G148" s="61">
        <v>20</v>
      </c>
      <c r="H148" s="61"/>
      <c r="I148" s="61"/>
      <c r="J148" s="59">
        <v>-160.53999999999999</v>
      </c>
      <c r="K148" s="61">
        <v>-2500</v>
      </c>
      <c r="L148" s="436"/>
      <c r="M148" s="462"/>
    </row>
    <row r="149" ht="18" customHeight="1">
      <c r="A149" s="85">
        <v>107</v>
      </c>
      <c r="B149" s="86" t="s">
        <v>202</v>
      </c>
      <c r="C149" s="61">
        <v>7386</v>
      </c>
      <c r="D149" s="61">
        <v>4630</v>
      </c>
      <c r="E149" s="61">
        <v>0</v>
      </c>
      <c r="F149" s="61"/>
      <c r="G149" s="61">
        <v>36</v>
      </c>
      <c r="H149" s="61"/>
      <c r="I149" s="61"/>
      <c r="J149" s="59">
        <v>-212.15000000000001</v>
      </c>
      <c r="K149" s="61">
        <v>1712.72</v>
      </c>
      <c r="L149" s="436"/>
      <c r="M149" s="462"/>
    </row>
    <row r="150" ht="18" customHeight="1">
      <c r="A150" s="85">
        <v>108</v>
      </c>
      <c r="B150" s="86" t="s">
        <v>203</v>
      </c>
      <c r="C150" s="61">
        <v>2996</v>
      </c>
      <c r="D150" s="61">
        <v>1675</v>
      </c>
      <c r="E150" s="61">
        <v>0</v>
      </c>
      <c r="F150" s="61">
        <v>500</v>
      </c>
      <c r="G150" s="61">
        <v>12</v>
      </c>
      <c r="H150" s="61"/>
      <c r="I150" s="61"/>
      <c r="J150" s="59">
        <v>-52.616666666666703</v>
      </c>
      <c r="K150" s="61">
        <v>-1162.72</v>
      </c>
      <c r="L150" s="436">
        <v>1000</v>
      </c>
      <c r="M150" s="462"/>
    </row>
    <row r="151" ht="49" customHeight="1">
      <c r="A151" s="85">
        <v>109</v>
      </c>
      <c r="B151" s="86" t="s">
        <v>199</v>
      </c>
      <c r="C151" s="61">
        <v>5806</v>
      </c>
      <c r="D151" s="61">
        <v>4911</v>
      </c>
      <c r="E151" s="61">
        <v>0</v>
      </c>
      <c r="F151" s="61"/>
      <c r="G151" s="61">
        <v>4</v>
      </c>
      <c r="H151" s="61"/>
      <c r="I151" s="61"/>
      <c r="J151" s="59">
        <v>0</v>
      </c>
      <c r="K151" s="61">
        <v>1950</v>
      </c>
      <c r="L151" s="436"/>
      <c r="M151" s="462" t="s">
        <v>1615</v>
      </c>
    </row>
    <row r="152" s="10" customFormat="1" ht="18" customHeight="1">
      <c r="A152" s="432"/>
      <c r="B152" s="431" t="s">
        <v>204</v>
      </c>
      <c r="C152" s="467">
        <v>14917</v>
      </c>
      <c r="D152" s="467">
        <v>5423</v>
      </c>
      <c r="E152" s="461">
        <v>248</v>
      </c>
      <c r="F152" s="461">
        <v>700</v>
      </c>
      <c r="G152" s="461">
        <v>164</v>
      </c>
      <c r="H152" s="461">
        <v>0</v>
      </c>
      <c r="I152" s="461">
        <v>2000</v>
      </c>
      <c r="J152" s="170">
        <v>-1466.0166666666701</v>
      </c>
      <c r="K152" s="461"/>
      <c r="L152" s="432"/>
      <c r="M152" s="464"/>
    </row>
    <row r="153" s="5" customFormat="1" ht="18" customHeight="1">
      <c r="A153" s="436"/>
      <c r="B153" s="452" t="s">
        <v>205</v>
      </c>
      <c r="C153" s="61">
        <v>39</v>
      </c>
      <c r="D153" s="61">
        <v>0</v>
      </c>
      <c r="E153" s="61">
        <v>0</v>
      </c>
      <c r="F153" s="61"/>
      <c r="G153" s="61">
        <v>0</v>
      </c>
      <c r="H153" s="61"/>
      <c r="I153" s="61"/>
      <c r="J153" s="59">
        <v>0</v>
      </c>
      <c r="K153" s="61"/>
      <c r="L153" s="436"/>
      <c r="M153" s="462"/>
    </row>
    <row r="154" s="5" customFormat="1" ht="18" customHeight="1">
      <c r="A154" s="436"/>
      <c r="B154" s="452" t="s">
        <v>76</v>
      </c>
      <c r="C154" s="466">
        <v>14878</v>
      </c>
      <c r="D154" s="466">
        <v>5423</v>
      </c>
      <c r="E154" s="61">
        <v>248</v>
      </c>
      <c r="F154" s="61">
        <v>700</v>
      </c>
      <c r="G154" s="61">
        <v>164</v>
      </c>
      <c r="H154" s="61">
        <v>0</v>
      </c>
      <c r="I154" s="61">
        <v>2000</v>
      </c>
      <c r="J154" s="59">
        <v>-1466.0166666666701</v>
      </c>
      <c r="K154" s="61"/>
      <c r="L154" s="436"/>
      <c r="M154" s="462"/>
    </row>
    <row r="155" ht="18" customHeight="1">
      <c r="A155" s="85">
        <v>110</v>
      </c>
      <c r="B155" s="86" t="s">
        <v>206</v>
      </c>
      <c r="C155" s="61">
        <v>1207</v>
      </c>
      <c r="D155" s="61">
        <v>270</v>
      </c>
      <c r="E155" s="61">
        <v>0</v>
      </c>
      <c r="F155" s="61"/>
      <c r="G155" s="61">
        <v>1</v>
      </c>
      <c r="H155" s="61"/>
      <c r="I155" s="61"/>
      <c r="J155" s="59">
        <v>0</v>
      </c>
      <c r="K155" s="61"/>
      <c r="L155" s="436"/>
      <c r="M155" s="462"/>
    </row>
    <row r="156" ht="18" customHeight="1">
      <c r="A156" s="85">
        <v>111</v>
      </c>
      <c r="B156" s="86" t="s">
        <v>208</v>
      </c>
      <c r="C156" s="61">
        <v>4941</v>
      </c>
      <c r="D156" s="61">
        <v>1915</v>
      </c>
      <c r="E156" s="61">
        <v>15</v>
      </c>
      <c r="F156" s="61">
        <v>700</v>
      </c>
      <c r="G156" s="61">
        <v>50</v>
      </c>
      <c r="H156" s="61"/>
      <c r="I156" s="61"/>
      <c r="J156" s="59">
        <v>0</v>
      </c>
      <c r="K156" s="61"/>
      <c r="L156" s="436"/>
      <c r="M156" s="462"/>
    </row>
    <row r="157" ht="18" customHeight="1">
      <c r="A157" s="85">
        <v>112</v>
      </c>
      <c r="B157" s="86" t="s">
        <v>209</v>
      </c>
      <c r="C157" s="61">
        <v>1260</v>
      </c>
      <c r="D157" s="61">
        <v>570</v>
      </c>
      <c r="E157" s="61">
        <v>0</v>
      </c>
      <c r="F157" s="61"/>
      <c r="G157" s="61">
        <v>40</v>
      </c>
      <c r="H157" s="61"/>
      <c r="I157" s="61"/>
      <c r="J157" s="59">
        <v>-98.349999999999994</v>
      </c>
      <c r="K157" s="61"/>
      <c r="L157" s="436"/>
      <c r="M157" s="462"/>
    </row>
    <row r="158" ht="18" customHeight="1">
      <c r="A158" s="85">
        <v>113</v>
      </c>
      <c r="B158" s="86" t="s">
        <v>210</v>
      </c>
      <c r="C158" s="61">
        <v>5884</v>
      </c>
      <c r="D158" s="61">
        <v>2223</v>
      </c>
      <c r="E158" s="61">
        <v>233</v>
      </c>
      <c r="F158" s="61"/>
      <c r="G158" s="61">
        <v>55</v>
      </c>
      <c r="H158" s="61"/>
      <c r="I158" s="61">
        <v>2000</v>
      </c>
      <c r="J158" s="59">
        <v>-1367.6666666666699</v>
      </c>
      <c r="K158" s="61"/>
      <c r="L158" s="436"/>
      <c r="M158" s="462"/>
    </row>
    <row r="159" ht="18" customHeight="1">
      <c r="A159" s="85">
        <v>114</v>
      </c>
      <c r="B159" s="86" t="s">
        <v>207</v>
      </c>
      <c r="C159" s="61">
        <v>1586</v>
      </c>
      <c r="D159" s="61">
        <v>445</v>
      </c>
      <c r="E159" s="61">
        <v>0</v>
      </c>
      <c r="F159" s="61"/>
      <c r="G159" s="61">
        <v>18</v>
      </c>
      <c r="H159" s="61"/>
      <c r="I159" s="61"/>
      <c r="J159" s="59">
        <v>0</v>
      </c>
      <c r="K159" s="61"/>
      <c r="L159" s="436"/>
      <c r="M159" s="462"/>
    </row>
    <row r="160" s="10" customFormat="1" ht="18" customHeight="1">
      <c r="A160" s="432"/>
      <c r="B160" s="431" t="s">
        <v>211</v>
      </c>
      <c r="C160" s="467">
        <v>44965</v>
      </c>
      <c r="D160" s="467">
        <v>17859</v>
      </c>
      <c r="E160" s="461">
        <v>1504</v>
      </c>
      <c r="F160" s="461">
        <v>600</v>
      </c>
      <c r="G160" s="461">
        <v>137</v>
      </c>
      <c r="H160" s="461">
        <v>0</v>
      </c>
      <c r="I160" s="461">
        <v>8000</v>
      </c>
      <c r="J160" s="170">
        <v>-600</v>
      </c>
      <c r="K160" s="461"/>
      <c r="L160" s="432"/>
      <c r="M160" s="464"/>
    </row>
    <row r="161" s="5" customFormat="1" ht="18" customHeight="1">
      <c r="A161" s="436"/>
      <c r="B161" s="452" t="s">
        <v>212</v>
      </c>
      <c r="C161" s="61">
        <v>59</v>
      </c>
      <c r="D161" s="61">
        <v>0</v>
      </c>
      <c r="E161" s="61">
        <v>0</v>
      </c>
      <c r="F161" s="61"/>
      <c r="G161" s="61">
        <v>0</v>
      </c>
      <c r="H161" s="61"/>
      <c r="I161" s="61"/>
      <c r="J161" s="59">
        <v>0</v>
      </c>
      <c r="K161" s="61"/>
      <c r="L161" s="436"/>
      <c r="M161" s="462"/>
    </row>
    <row r="162" s="5" customFormat="1" ht="18" customHeight="1">
      <c r="A162" s="436"/>
      <c r="B162" s="452" t="s">
        <v>76</v>
      </c>
      <c r="C162" s="466">
        <v>44906</v>
      </c>
      <c r="D162" s="466">
        <v>17859</v>
      </c>
      <c r="E162" s="61">
        <v>1504</v>
      </c>
      <c r="F162" s="61">
        <v>600</v>
      </c>
      <c r="G162" s="61">
        <v>137</v>
      </c>
      <c r="H162" s="61">
        <v>0</v>
      </c>
      <c r="I162" s="61">
        <v>8000</v>
      </c>
      <c r="J162" s="59">
        <v>-600</v>
      </c>
      <c r="K162" s="61"/>
      <c r="L162" s="436"/>
      <c r="M162" s="462"/>
    </row>
    <row r="163" ht="18" customHeight="1">
      <c r="A163" s="85">
        <v>115</v>
      </c>
      <c r="B163" s="86" t="s">
        <v>216</v>
      </c>
      <c r="C163" s="61">
        <v>10504</v>
      </c>
      <c r="D163" s="61">
        <v>5813</v>
      </c>
      <c r="E163" s="61">
        <v>670</v>
      </c>
      <c r="F163" s="61"/>
      <c r="G163" s="61">
        <v>38</v>
      </c>
      <c r="H163" s="61"/>
      <c r="I163" s="61">
        <v>2000</v>
      </c>
      <c r="J163" s="59">
        <v>0</v>
      </c>
      <c r="K163" s="61"/>
      <c r="L163" s="436"/>
      <c r="M163" s="462"/>
    </row>
    <row r="164" ht="18" customHeight="1">
      <c r="A164" s="85">
        <v>116</v>
      </c>
      <c r="B164" s="86" t="s">
        <v>214</v>
      </c>
      <c r="C164" s="61">
        <v>11405</v>
      </c>
      <c r="D164" s="61">
        <v>4479</v>
      </c>
      <c r="E164" s="61">
        <v>318</v>
      </c>
      <c r="F164" s="61"/>
      <c r="G164" s="61">
        <v>19</v>
      </c>
      <c r="H164" s="61"/>
      <c r="I164" s="61">
        <v>2000</v>
      </c>
      <c r="J164" s="59">
        <v>0</v>
      </c>
      <c r="K164" s="61"/>
      <c r="L164" s="436"/>
      <c r="M164" s="462"/>
    </row>
    <row r="165" ht="18" customHeight="1">
      <c r="A165" s="85">
        <v>117</v>
      </c>
      <c r="B165" s="86" t="s">
        <v>215</v>
      </c>
      <c r="C165" s="61">
        <v>7436</v>
      </c>
      <c r="D165" s="61">
        <v>2920</v>
      </c>
      <c r="E165" s="61">
        <v>27</v>
      </c>
      <c r="F165" s="61"/>
      <c r="G165" s="61">
        <v>13</v>
      </c>
      <c r="H165" s="61"/>
      <c r="I165" s="61">
        <v>2000</v>
      </c>
      <c r="J165" s="59">
        <v>0</v>
      </c>
      <c r="K165" s="61"/>
      <c r="L165" s="436"/>
      <c r="M165" s="462"/>
    </row>
    <row r="166" ht="18" customHeight="1">
      <c r="A166" s="85">
        <v>118</v>
      </c>
      <c r="B166" s="86" t="s">
        <v>213</v>
      </c>
      <c r="C166" s="61">
        <v>15561</v>
      </c>
      <c r="D166" s="61">
        <v>4647</v>
      </c>
      <c r="E166" s="61">
        <v>489</v>
      </c>
      <c r="F166" s="61">
        <v>600</v>
      </c>
      <c r="G166" s="61">
        <v>67</v>
      </c>
      <c r="H166" s="61"/>
      <c r="I166" s="61">
        <v>2000</v>
      </c>
      <c r="J166" s="59">
        <v>-600</v>
      </c>
      <c r="K166" s="61"/>
      <c r="L166" s="436"/>
      <c r="M166" s="462"/>
    </row>
    <row r="167" s="10" customFormat="1" ht="18" customHeight="1">
      <c r="A167" s="432"/>
      <c r="B167" s="431" t="s">
        <v>217</v>
      </c>
      <c r="C167" s="467">
        <v>25445</v>
      </c>
      <c r="D167" s="467">
        <v>8274</v>
      </c>
      <c r="E167" s="461">
        <v>27</v>
      </c>
      <c r="F167" s="461">
        <v>500</v>
      </c>
      <c r="G167" s="461">
        <v>28</v>
      </c>
      <c r="H167" s="461">
        <v>0</v>
      </c>
      <c r="I167" s="461">
        <v>6000</v>
      </c>
      <c r="J167" s="170">
        <v>-443.57466666666699</v>
      </c>
      <c r="K167" s="461"/>
      <c r="L167" s="432"/>
      <c r="M167" s="464"/>
    </row>
    <row r="168" s="5" customFormat="1" ht="18" customHeight="1">
      <c r="A168" s="436"/>
      <c r="B168" s="452" t="s">
        <v>218</v>
      </c>
      <c r="C168" s="61">
        <v>39</v>
      </c>
      <c r="D168" s="61">
        <v>0</v>
      </c>
      <c r="E168" s="61">
        <v>0</v>
      </c>
      <c r="F168" s="61"/>
      <c r="G168" s="61">
        <v>0</v>
      </c>
      <c r="H168" s="61"/>
      <c r="I168" s="61"/>
      <c r="J168" s="59">
        <v>0</v>
      </c>
      <c r="K168" s="61"/>
      <c r="L168" s="436"/>
      <c r="M168" s="462"/>
    </row>
    <row r="169" s="5" customFormat="1" ht="18" customHeight="1">
      <c r="A169" s="436"/>
      <c r="B169" s="452" t="s">
        <v>76</v>
      </c>
      <c r="C169" s="466">
        <v>25406</v>
      </c>
      <c r="D169" s="466">
        <v>8274</v>
      </c>
      <c r="E169" s="61">
        <v>27</v>
      </c>
      <c r="F169" s="61">
        <v>500</v>
      </c>
      <c r="G169" s="61">
        <v>28</v>
      </c>
      <c r="H169" s="61">
        <v>0</v>
      </c>
      <c r="I169" s="61">
        <v>6000</v>
      </c>
      <c r="J169" s="59">
        <v>-443.57466666666699</v>
      </c>
      <c r="K169" s="61"/>
      <c r="L169" s="436"/>
      <c r="M169" s="462"/>
    </row>
    <row r="170" ht="18" customHeight="1">
      <c r="A170" s="85">
        <v>119</v>
      </c>
      <c r="B170" s="86" t="s">
        <v>219</v>
      </c>
      <c r="C170" s="61">
        <v>8360</v>
      </c>
      <c r="D170" s="61">
        <v>2427</v>
      </c>
      <c r="E170" s="61">
        <v>0</v>
      </c>
      <c r="F170" s="61"/>
      <c r="G170" s="61">
        <v>6</v>
      </c>
      <c r="H170" s="61"/>
      <c r="I170" s="61">
        <v>2000</v>
      </c>
      <c r="J170" s="59">
        <v>-143.57466666666701</v>
      </c>
      <c r="K170" s="61"/>
      <c r="L170" s="436"/>
      <c r="M170" s="462"/>
    </row>
    <row r="171" ht="18" customHeight="1">
      <c r="A171" s="85">
        <v>120</v>
      </c>
      <c r="B171" s="86" t="s">
        <v>221</v>
      </c>
      <c r="C171" s="61">
        <v>10001</v>
      </c>
      <c r="D171" s="61">
        <v>3153</v>
      </c>
      <c r="E171" s="61">
        <v>27</v>
      </c>
      <c r="F171" s="61"/>
      <c r="G171" s="61">
        <v>10</v>
      </c>
      <c r="H171" s="61"/>
      <c r="I171" s="61">
        <v>2000</v>
      </c>
      <c r="J171" s="59">
        <v>0</v>
      </c>
      <c r="K171" s="61"/>
      <c r="L171" s="436"/>
      <c r="M171" s="462"/>
    </row>
    <row r="172" ht="18" customHeight="1">
      <c r="A172" s="85">
        <v>121</v>
      </c>
      <c r="B172" s="86" t="s">
        <v>220</v>
      </c>
      <c r="C172" s="61">
        <v>7045</v>
      </c>
      <c r="D172" s="61">
        <v>2694</v>
      </c>
      <c r="E172" s="61">
        <v>0</v>
      </c>
      <c r="F172" s="61">
        <v>500</v>
      </c>
      <c r="G172" s="61">
        <v>12</v>
      </c>
      <c r="H172" s="61"/>
      <c r="I172" s="61">
        <v>2000</v>
      </c>
      <c r="J172" s="59">
        <v>-300</v>
      </c>
      <c r="K172" s="61"/>
      <c r="L172" s="436"/>
      <c r="M172" s="462"/>
    </row>
    <row r="173" s="10" customFormat="1" ht="18" customHeight="1">
      <c r="A173" s="432"/>
      <c r="B173" s="431" t="s">
        <v>222</v>
      </c>
      <c r="C173" s="467">
        <v>26945</v>
      </c>
      <c r="D173" s="467">
        <v>12730</v>
      </c>
      <c r="E173" s="461">
        <v>0</v>
      </c>
      <c r="F173" s="461">
        <v>600</v>
      </c>
      <c r="G173" s="461">
        <v>97</v>
      </c>
      <c r="H173" s="461">
        <v>0</v>
      </c>
      <c r="I173" s="461">
        <v>0</v>
      </c>
      <c r="J173" s="170">
        <v>0</v>
      </c>
      <c r="K173" s="461"/>
      <c r="L173" s="432"/>
      <c r="M173" s="464"/>
    </row>
    <row r="174" s="5" customFormat="1" ht="18" customHeight="1">
      <c r="A174" s="436"/>
      <c r="B174" s="452" t="s">
        <v>223</v>
      </c>
      <c r="C174" s="61">
        <v>59</v>
      </c>
      <c r="D174" s="61">
        <v>0</v>
      </c>
      <c r="E174" s="61">
        <v>0</v>
      </c>
      <c r="F174" s="61"/>
      <c r="G174" s="61">
        <v>0</v>
      </c>
      <c r="H174" s="61"/>
      <c r="I174" s="61"/>
      <c r="J174" s="59">
        <v>0</v>
      </c>
      <c r="K174" s="61"/>
      <c r="L174" s="436"/>
      <c r="M174" s="462"/>
    </row>
    <row r="175" s="5" customFormat="1" ht="18" customHeight="1">
      <c r="A175" s="436"/>
      <c r="B175" s="452" t="s">
        <v>76</v>
      </c>
      <c r="C175" s="466">
        <v>26886</v>
      </c>
      <c r="D175" s="466">
        <v>12730</v>
      </c>
      <c r="E175" s="61">
        <v>0</v>
      </c>
      <c r="F175" s="61">
        <v>600</v>
      </c>
      <c r="G175" s="61">
        <v>97</v>
      </c>
      <c r="H175" s="61">
        <v>0</v>
      </c>
      <c r="I175" s="61">
        <v>0</v>
      </c>
      <c r="J175" s="59">
        <v>0</v>
      </c>
      <c r="K175" s="61"/>
      <c r="L175" s="436"/>
      <c r="M175" s="462"/>
    </row>
    <row r="176" ht="18" customHeight="1">
      <c r="A176" s="85">
        <v>122</v>
      </c>
      <c r="B176" s="86" t="s">
        <v>225</v>
      </c>
      <c r="C176" s="61">
        <v>5176</v>
      </c>
      <c r="D176" s="61">
        <v>2140</v>
      </c>
      <c r="E176" s="61">
        <v>0</v>
      </c>
      <c r="F176" s="61"/>
      <c r="G176" s="61">
        <v>17</v>
      </c>
      <c r="H176" s="61"/>
      <c r="I176" s="61"/>
      <c r="J176" s="59">
        <v>0</v>
      </c>
      <c r="K176" s="61"/>
      <c r="L176" s="436"/>
      <c r="M176" s="462"/>
    </row>
    <row r="177" ht="18" customHeight="1">
      <c r="A177" s="85">
        <v>123</v>
      </c>
      <c r="B177" s="86" t="s">
        <v>226</v>
      </c>
      <c r="C177" s="61">
        <v>2634</v>
      </c>
      <c r="D177" s="61">
        <v>1409</v>
      </c>
      <c r="E177" s="61">
        <v>0</v>
      </c>
      <c r="F177" s="61"/>
      <c r="G177" s="61">
        <v>5</v>
      </c>
      <c r="H177" s="61"/>
      <c r="I177" s="61"/>
      <c r="J177" s="59">
        <v>0</v>
      </c>
      <c r="K177" s="61"/>
      <c r="L177" s="436"/>
      <c r="M177" s="462"/>
    </row>
    <row r="178" ht="18" customHeight="1">
      <c r="A178" s="85">
        <v>124</v>
      </c>
      <c r="B178" s="86" t="s">
        <v>224</v>
      </c>
      <c r="C178" s="61">
        <v>2340</v>
      </c>
      <c r="D178" s="61">
        <v>1261</v>
      </c>
      <c r="E178" s="61">
        <v>0</v>
      </c>
      <c r="F178" s="61"/>
      <c r="G178" s="61">
        <v>26</v>
      </c>
      <c r="H178" s="61"/>
      <c r="I178" s="61"/>
      <c r="J178" s="59">
        <v>0</v>
      </c>
      <c r="K178" s="61"/>
      <c r="L178" s="436"/>
      <c r="M178" s="462"/>
    </row>
    <row r="179" ht="18" customHeight="1">
      <c r="A179" s="85">
        <v>125</v>
      </c>
      <c r="B179" s="86" t="s">
        <v>227</v>
      </c>
      <c r="C179" s="61">
        <v>4105</v>
      </c>
      <c r="D179" s="61">
        <v>1610</v>
      </c>
      <c r="E179" s="61">
        <v>0</v>
      </c>
      <c r="F179" s="61"/>
      <c r="G179" s="61">
        <v>21</v>
      </c>
      <c r="H179" s="61"/>
      <c r="I179" s="61"/>
      <c r="J179" s="59">
        <v>0</v>
      </c>
      <c r="K179" s="61"/>
      <c r="L179" s="436"/>
      <c r="M179" s="462"/>
    </row>
    <row r="180" s="5" customFormat="1" ht="46" customHeight="1">
      <c r="A180" s="85">
        <v>126</v>
      </c>
      <c r="B180" s="86" t="s">
        <v>228</v>
      </c>
      <c r="C180" s="61">
        <v>3198</v>
      </c>
      <c r="D180" s="61">
        <v>1121</v>
      </c>
      <c r="E180" s="61">
        <v>0</v>
      </c>
      <c r="F180" s="61"/>
      <c r="G180" s="61">
        <v>4</v>
      </c>
      <c r="H180" s="61"/>
      <c r="I180" s="61"/>
      <c r="J180" s="59">
        <v>0</v>
      </c>
      <c r="K180" s="61"/>
      <c r="L180" s="436"/>
      <c r="M180" s="462" t="s">
        <v>1616</v>
      </c>
    </row>
    <row r="181" ht="18" customHeight="1">
      <c r="A181" s="85">
        <v>127</v>
      </c>
      <c r="B181" s="86" t="s">
        <v>229</v>
      </c>
      <c r="C181" s="61">
        <v>2044</v>
      </c>
      <c r="D181" s="61">
        <v>1049</v>
      </c>
      <c r="E181" s="61">
        <v>0</v>
      </c>
      <c r="F181" s="61"/>
      <c r="G181" s="61">
        <v>5</v>
      </c>
      <c r="H181" s="61"/>
      <c r="I181" s="61"/>
      <c r="J181" s="59">
        <v>0</v>
      </c>
      <c r="K181" s="61"/>
      <c r="L181" s="436"/>
      <c r="M181" s="462"/>
    </row>
    <row r="182" ht="18" customHeight="1">
      <c r="A182" s="85">
        <v>128</v>
      </c>
      <c r="B182" s="86" t="s">
        <v>230</v>
      </c>
      <c r="C182" s="61">
        <v>2607</v>
      </c>
      <c r="D182" s="61">
        <v>1716</v>
      </c>
      <c r="E182" s="61">
        <v>0</v>
      </c>
      <c r="F182" s="61">
        <v>600</v>
      </c>
      <c r="G182" s="61">
        <v>14</v>
      </c>
      <c r="H182" s="61"/>
      <c r="I182" s="61"/>
      <c r="J182" s="59">
        <v>0</v>
      </c>
      <c r="K182" s="61"/>
      <c r="L182" s="436"/>
      <c r="M182" s="462"/>
    </row>
    <row r="183" ht="18" customHeight="1">
      <c r="A183" s="85">
        <v>129</v>
      </c>
      <c r="B183" s="86" t="s">
        <v>231</v>
      </c>
      <c r="C183" s="61">
        <v>4782</v>
      </c>
      <c r="D183" s="61">
        <v>2424</v>
      </c>
      <c r="E183" s="61">
        <v>0</v>
      </c>
      <c r="F183" s="61"/>
      <c r="G183" s="61">
        <v>5</v>
      </c>
      <c r="H183" s="61"/>
      <c r="I183" s="61"/>
      <c r="J183" s="59">
        <v>0</v>
      </c>
      <c r="K183" s="61"/>
      <c r="L183" s="436"/>
      <c r="M183" s="462"/>
    </row>
    <row r="185">
      <c r="B185" s="438"/>
    </row>
  </sheetData>
  <autoFilter ref="A4:L183"/>
  <mergeCells count="7">
    <mergeCell ref="A1:K1"/>
    <mergeCell ref="E3:L3"/>
    <mergeCell ref="A3:A4"/>
    <mergeCell ref="B3:B4"/>
    <mergeCell ref="C3:C4"/>
    <mergeCell ref="D3:D4"/>
    <mergeCell ref="M3:M4"/>
  </mergeCells>
  <printOptions headings="0" gridLines="0"/>
  <pageMargins left="0.39305555555555605" right="0.27500000000000008" top="0.66874999999999984" bottom="0.62986111111111098" header="0" footer="0"/>
  <pageSetup paperSize="9" scale="100" fitToWidth="1" fitToHeight="0" pageOrder="overThenDown" orientation="portrait" usePrinterDefaults="1" blackAndWhite="0" draft="0" cellComments="none" useFirstPageNumber="0" errors="displayed" horizontalDpi="600" verticalDpi="600" copies="1"/>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3">
    <outlinePr applyStyles="0" summaryBelow="1" summaryRight="1" showOutlineSymbols="1"/>
    <pageSetUpPr autoPageBreaks="1" fitToPage="0"/>
  </sheetPr>
  <sheetViews>
    <sheetView zoomScale="100" workbookViewId="0">
      <selection activeCell="A1" activeCellId="0" sqref="A1:I1"/>
    </sheetView>
  </sheetViews>
  <sheetFormatPr defaultColWidth="9" defaultRowHeight="14.25"/>
  <cols>
    <col customWidth="1" min="1" max="1" style="107" width="4.2583333333333302"/>
    <col customWidth="1" min="2" max="2" style="107" width="6.2583333333333302"/>
    <col customWidth="1" min="3" max="3" style="106" width="8.375"/>
    <col customWidth="1" min="4" max="4" style="106" width="7"/>
    <col customWidth="1" min="5" max="6" style="106" width="11.125"/>
    <col customWidth="1" min="7" max="7" style="108" width="11.125"/>
    <col customWidth="1" min="8" max="8" style="108" width="11.258333333333301"/>
    <col customWidth="1" min="9" max="9" style="108" width="21.5"/>
    <col min="10" max="10" style="106" width="13.758333333333301"/>
    <col min="11" max="16384" style="106" width="9"/>
  </cols>
  <sheetData>
    <row r="1" ht="31" customHeight="1">
      <c r="A1" s="109" t="s">
        <v>369</v>
      </c>
      <c r="B1" s="109"/>
      <c r="C1" s="109"/>
      <c r="D1" s="109"/>
      <c r="E1" s="109"/>
      <c r="F1" s="109"/>
      <c r="G1" s="110"/>
      <c r="H1" s="110"/>
      <c r="I1" s="110"/>
    </row>
    <row r="2" ht="21" customHeight="1">
      <c r="I2" s="111" t="s">
        <v>2</v>
      </c>
    </row>
    <row r="3" ht="48" customHeight="1">
      <c r="A3" s="112" t="s">
        <v>3</v>
      </c>
      <c r="B3" s="112" t="s">
        <v>370</v>
      </c>
      <c r="C3" s="112" t="s">
        <v>8</v>
      </c>
      <c r="D3" s="112" t="s">
        <v>46</v>
      </c>
      <c r="E3" s="112" t="s">
        <v>371</v>
      </c>
      <c r="F3" s="112" t="s">
        <v>372</v>
      </c>
      <c r="G3" s="113" t="s">
        <v>373</v>
      </c>
      <c r="H3" s="114" t="s">
        <v>374</v>
      </c>
      <c r="I3" s="114" t="s">
        <v>375</v>
      </c>
      <c r="J3" s="106">
        <f>I5+I7+I8+I15+I16+I17+I20+I21+I22+I27+I28+I29</f>
        <v>125155.32352941199</v>
      </c>
    </row>
    <row r="4" ht="29" customHeight="1">
      <c r="A4" s="115" t="s">
        <v>376</v>
      </c>
      <c r="B4" s="116"/>
      <c r="C4" s="117"/>
      <c r="D4" s="118">
        <f>SUM(D5:D29)</f>
        <v>374</v>
      </c>
      <c r="E4" s="119">
        <f>SUM(E5:E29)</f>
        <v>1122000</v>
      </c>
      <c r="F4" s="119">
        <v>636713</v>
      </c>
      <c r="G4" s="120">
        <f>SUM(G5:G29)</f>
        <v>396611</v>
      </c>
      <c r="H4" s="120">
        <f>SUM(H5:H29)</f>
        <v>339235</v>
      </c>
      <c r="I4" s="121">
        <f>I5+I7+I8+I15+I16+I17+I20+I21+I22+I27+I28+I29</f>
        <v>125155.32352941199</v>
      </c>
      <c r="M4" s="106" t="s">
        <v>377</v>
      </c>
      <c r="N4" s="106" t="s">
        <v>91</v>
      </c>
      <c r="O4" s="106" t="s">
        <v>378</v>
      </c>
      <c r="Q4" s="106" t="s">
        <v>379</v>
      </c>
    </row>
    <row r="5" ht="22" customHeight="1">
      <c r="A5" s="118">
        <v>1</v>
      </c>
      <c r="B5" s="118" t="s">
        <v>380</v>
      </c>
      <c r="C5" s="122" t="s">
        <v>133</v>
      </c>
      <c r="D5" s="118">
        <v>27</v>
      </c>
      <c r="E5" s="119">
        <f t="shared" ref="E5:E29" si="473">3000*D5</f>
        <v>81000</v>
      </c>
      <c r="F5" s="120">
        <f t="shared" ref="F5:F29" si="474">E5*$F$4/$E$4</f>
        <v>45965.911764705903</v>
      </c>
      <c r="G5" s="120">
        <v>25050</v>
      </c>
      <c r="H5" s="120">
        <v>19680</v>
      </c>
      <c r="I5" s="121">
        <f t="shared" ref="I5:I29" si="475">F5-G5-H5</f>
        <v>1235.9117647058799</v>
      </c>
      <c r="L5" s="106" t="s">
        <v>133</v>
      </c>
      <c r="M5" s="106">
        <v>21418</v>
      </c>
      <c r="N5" s="106">
        <v>3632</v>
      </c>
      <c r="O5" s="106">
        <f t="shared" ref="O5:O29" si="476">M5+N5</f>
        <v>25050</v>
      </c>
      <c r="Q5" s="106">
        <v>19680</v>
      </c>
    </row>
    <row r="6" ht="22" customHeight="1">
      <c r="A6" s="118">
        <v>2</v>
      </c>
      <c r="B6" s="118"/>
      <c r="C6" s="118" t="s">
        <v>134</v>
      </c>
      <c r="D6" s="118">
        <v>7</v>
      </c>
      <c r="E6" s="119">
        <f t="shared" si="473"/>
        <v>21000</v>
      </c>
      <c r="F6" s="120">
        <f t="shared" si="474"/>
        <v>11917.088235294101</v>
      </c>
      <c r="G6" s="120">
        <v>25297</v>
      </c>
      <c r="H6" s="120">
        <v>18320</v>
      </c>
      <c r="I6" s="121">
        <f t="shared" si="475"/>
        <v>-31699.911764705899</v>
      </c>
      <c r="J6" s="106">
        <f t="shared" ref="J6:J13" si="477">-I6/E6</f>
        <v>1.5095196078431401</v>
      </c>
      <c r="L6" s="106" t="s">
        <v>134</v>
      </c>
      <c r="M6" s="106">
        <v>19704</v>
      </c>
      <c r="N6" s="106">
        <v>5593</v>
      </c>
      <c r="O6" s="106">
        <f t="shared" si="476"/>
        <v>25297</v>
      </c>
      <c r="Q6" s="106">
        <v>18320</v>
      </c>
    </row>
    <row r="7" ht="22" customHeight="1">
      <c r="A7" s="118">
        <v>3</v>
      </c>
      <c r="B7" s="118"/>
      <c r="C7" s="122" t="s">
        <v>135</v>
      </c>
      <c r="D7" s="118">
        <v>15</v>
      </c>
      <c r="E7" s="119">
        <f t="shared" si="473"/>
        <v>45000</v>
      </c>
      <c r="F7" s="120">
        <f t="shared" si="474"/>
        <v>25536.6176470588</v>
      </c>
      <c r="G7" s="120">
        <v>7196</v>
      </c>
      <c r="H7" s="120">
        <v>7220</v>
      </c>
      <c r="I7" s="121">
        <f t="shared" si="475"/>
        <v>11120.6176470588</v>
      </c>
      <c r="L7" s="106" t="s">
        <v>135</v>
      </c>
      <c r="M7" s="106">
        <v>2871</v>
      </c>
      <c r="N7" s="106">
        <v>4325</v>
      </c>
      <c r="O7" s="106">
        <f t="shared" si="476"/>
        <v>7196</v>
      </c>
      <c r="Q7" s="106">
        <v>7220</v>
      </c>
    </row>
    <row r="8" ht="22" customHeight="1">
      <c r="A8" s="118">
        <v>4</v>
      </c>
      <c r="B8" s="118" t="s">
        <v>381</v>
      </c>
      <c r="C8" s="122" t="s">
        <v>141</v>
      </c>
      <c r="D8" s="118">
        <v>23</v>
      </c>
      <c r="E8" s="119">
        <f t="shared" si="473"/>
        <v>69000</v>
      </c>
      <c r="F8" s="120">
        <f t="shared" si="474"/>
        <v>39156.147058823502</v>
      </c>
      <c r="G8" s="120">
        <v>14505</v>
      </c>
      <c r="H8" s="120">
        <v>18954</v>
      </c>
      <c r="I8" s="121">
        <f t="shared" si="475"/>
        <v>5697.1470588235297</v>
      </c>
      <c r="L8" s="106" t="s">
        <v>141</v>
      </c>
      <c r="M8" s="106">
        <v>11644</v>
      </c>
      <c r="N8" s="106">
        <v>2861</v>
      </c>
      <c r="O8" s="106">
        <f t="shared" si="476"/>
        <v>14505</v>
      </c>
      <c r="Q8" s="106">
        <v>18954</v>
      </c>
    </row>
    <row r="9" ht="22" customHeight="1">
      <c r="A9" s="118">
        <v>5</v>
      </c>
      <c r="B9" s="118"/>
      <c r="C9" s="118" t="s">
        <v>142</v>
      </c>
      <c r="D9" s="118">
        <v>12</v>
      </c>
      <c r="E9" s="119">
        <f t="shared" si="473"/>
        <v>36000</v>
      </c>
      <c r="F9" s="120">
        <f t="shared" si="474"/>
        <v>20429.294117647099</v>
      </c>
      <c r="G9" s="120">
        <v>17338</v>
      </c>
      <c r="H9" s="120">
        <v>14876</v>
      </c>
      <c r="I9" s="121">
        <f t="shared" si="475"/>
        <v>-11784.705882352901</v>
      </c>
      <c r="J9" s="106">
        <f t="shared" si="477"/>
        <v>0.32735294117647101</v>
      </c>
      <c r="L9" s="106" t="s">
        <v>142</v>
      </c>
      <c r="M9" s="106">
        <v>14521</v>
      </c>
      <c r="N9" s="106">
        <v>2817</v>
      </c>
      <c r="O9" s="106">
        <f t="shared" si="476"/>
        <v>17338</v>
      </c>
      <c r="Q9" s="106">
        <v>14876</v>
      </c>
    </row>
    <row r="10" ht="22" customHeight="1">
      <c r="A10" s="118">
        <v>6</v>
      </c>
      <c r="B10" s="118"/>
      <c r="C10" s="118" t="s">
        <v>145</v>
      </c>
      <c r="D10" s="118">
        <v>7</v>
      </c>
      <c r="E10" s="119">
        <f t="shared" si="473"/>
        <v>21000</v>
      </c>
      <c r="F10" s="120">
        <f t="shared" si="474"/>
        <v>11917.088235294101</v>
      </c>
      <c r="G10" s="120">
        <v>12541</v>
      </c>
      <c r="H10" s="120">
        <v>10679</v>
      </c>
      <c r="I10" s="121">
        <f t="shared" si="475"/>
        <v>-11302.911764705899</v>
      </c>
      <c r="J10" s="106">
        <f t="shared" si="477"/>
        <v>0.53823389355742302</v>
      </c>
      <c r="L10" s="106" t="s">
        <v>145</v>
      </c>
      <c r="M10" s="106">
        <v>10645</v>
      </c>
      <c r="N10" s="106">
        <v>1896</v>
      </c>
      <c r="O10" s="106">
        <f t="shared" si="476"/>
        <v>12541</v>
      </c>
      <c r="Q10" s="106">
        <v>10679</v>
      </c>
    </row>
    <row r="11" ht="22" customHeight="1">
      <c r="A11" s="118">
        <v>7</v>
      </c>
      <c r="B11" s="118" t="s">
        <v>382</v>
      </c>
      <c r="C11" s="118" t="s">
        <v>155</v>
      </c>
      <c r="D11" s="118">
        <v>11</v>
      </c>
      <c r="E11" s="119">
        <f t="shared" si="473"/>
        <v>33000</v>
      </c>
      <c r="F11" s="120">
        <f t="shared" si="474"/>
        <v>18726.852941176501</v>
      </c>
      <c r="G11" s="120">
        <v>13235</v>
      </c>
      <c r="H11" s="120">
        <v>11186</v>
      </c>
      <c r="I11" s="121">
        <f t="shared" si="475"/>
        <v>-5694.1470588235297</v>
      </c>
      <c r="J11" s="106">
        <f t="shared" si="477"/>
        <v>0.17254991087343999</v>
      </c>
      <c r="L11" s="106" t="s">
        <v>155</v>
      </c>
      <c r="M11" s="106">
        <v>8450</v>
      </c>
      <c r="N11" s="106">
        <v>4785</v>
      </c>
      <c r="O11" s="106">
        <f t="shared" si="476"/>
        <v>13235</v>
      </c>
      <c r="Q11" s="106">
        <v>11186</v>
      </c>
    </row>
    <row r="12" ht="22" customHeight="1">
      <c r="A12" s="118">
        <v>8</v>
      </c>
      <c r="B12" s="118"/>
      <c r="C12" s="118" t="s">
        <v>156</v>
      </c>
      <c r="D12" s="118">
        <v>11</v>
      </c>
      <c r="E12" s="119">
        <f t="shared" si="473"/>
        <v>33000</v>
      </c>
      <c r="F12" s="120">
        <f t="shared" si="474"/>
        <v>18726.852941176501</v>
      </c>
      <c r="G12" s="120">
        <v>10932</v>
      </c>
      <c r="H12" s="120">
        <v>9200</v>
      </c>
      <c r="I12" s="121">
        <f t="shared" si="475"/>
        <v>-1405.14705882353</v>
      </c>
      <c r="J12" s="106">
        <f t="shared" si="477"/>
        <v>4.2580213903743301e-002</v>
      </c>
      <c r="L12" s="106" t="s">
        <v>156</v>
      </c>
      <c r="M12" s="106">
        <v>7569</v>
      </c>
      <c r="N12" s="106">
        <v>3363</v>
      </c>
      <c r="O12" s="106">
        <f t="shared" si="476"/>
        <v>10932</v>
      </c>
      <c r="Q12" s="106">
        <v>9200</v>
      </c>
    </row>
    <row r="13" ht="22" customHeight="1">
      <c r="A13" s="118">
        <v>9</v>
      </c>
      <c r="B13" s="118"/>
      <c r="C13" s="118" t="s">
        <v>157</v>
      </c>
      <c r="D13" s="118">
        <v>8</v>
      </c>
      <c r="E13" s="119">
        <f t="shared" si="473"/>
        <v>24000</v>
      </c>
      <c r="F13" s="120">
        <f t="shared" si="474"/>
        <v>13619.529411764701</v>
      </c>
      <c r="G13" s="120">
        <v>35240</v>
      </c>
      <c r="H13" s="120">
        <v>27468</v>
      </c>
      <c r="I13" s="121">
        <f t="shared" si="475"/>
        <v>-49088.470588235301</v>
      </c>
      <c r="J13" s="106">
        <f t="shared" si="477"/>
        <v>2.0453529411764699</v>
      </c>
      <c r="L13" s="106" t="s">
        <v>157</v>
      </c>
      <c r="M13" s="106">
        <v>29361</v>
      </c>
      <c r="N13" s="106">
        <v>5879</v>
      </c>
      <c r="O13" s="106">
        <f t="shared" si="476"/>
        <v>35240</v>
      </c>
      <c r="Q13" s="106">
        <v>27468</v>
      </c>
    </row>
    <row r="14" ht="22" customHeight="1">
      <c r="A14" s="118">
        <v>10</v>
      </c>
      <c r="B14" s="118"/>
      <c r="C14" s="122" t="s">
        <v>158</v>
      </c>
      <c r="D14" s="118">
        <v>14</v>
      </c>
      <c r="E14" s="119">
        <f t="shared" si="473"/>
        <v>42000</v>
      </c>
      <c r="F14" s="120">
        <f t="shared" si="474"/>
        <v>23834.176470588201</v>
      </c>
      <c r="G14" s="120">
        <v>12951</v>
      </c>
      <c r="H14" s="120">
        <v>11044</v>
      </c>
      <c r="I14" s="121">
        <f t="shared" si="475"/>
        <v>-160.823529411766</v>
      </c>
      <c r="L14" s="106" t="s">
        <v>158</v>
      </c>
      <c r="M14" s="106">
        <v>8318</v>
      </c>
      <c r="N14" s="106">
        <v>4633</v>
      </c>
      <c r="O14" s="106">
        <f t="shared" si="476"/>
        <v>12951</v>
      </c>
      <c r="Q14" s="106">
        <v>11044</v>
      </c>
    </row>
    <row r="15" ht="22" customHeight="1">
      <c r="A15" s="118">
        <v>11</v>
      </c>
      <c r="B15" s="118" t="s">
        <v>383</v>
      </c>
      <c r="C15" s="122" t="s">
        <v>161</v>
      </c>
      <c r="D15" s="118">
        <v>9</v>
      </c>
      <c r="E15" s="119">
        <f t="shared" si="473"/>
        <v>27000</v>
      </c>
      <c r="F15" s="120">
        <f t="shared" si="474"/>
        <v>15321.970588235299</v>
      </c>
      <c r="G15" s="120">
        <v>4381</v>
      </c>
      <c r="H15" s="120">
        <v>4554</v>
      </c>
      <c r="I15" s="121">
        <f t="shared" si="475"/>
        <v>6386.9705882352901</v>
      </c>
      <c r="L15" s="106" t="s">
        <v>161</v>
      </c>
      <c r="M15" s="106">
        <v>3400</v>
      </c>
      <c r="N15" s="106">
        <v>981</v>
      </c>
      <c r="O15" s="106">
        <f t="shared" si="476"/>
        <v>4381</v>
      </c>
      <c r="Q15" s="106">
        <v>4554</v>
      </c>
    </row>
    <row r="16" ht="22" customHeight="1">
      <c r="A16" s="118">
        <v>12</v>
      </c>
      <c r="B16" s="118"/>
      <c r="C16" s="118" t="s">
        <v>162</v>
      </c>
      <c r="D16" s="118">
        <v>12</v>
      </c>
      <c r="E16" s="119">
        <f t="shared" si="473"/>
        <v>36000</v>
      </c>
      <c r="F16" s="120">
        <f t="shared" si="474"/>
        <v>20429.294117647099</v>
      </c>
      <c r="G16" s="120">
        <v>4719</v>
      </c>
      <c r="H16" s="120">
        <v>6344</v>
      </c>
      <c r="I16" s="121">
        <f t="shared" si="475"/>
        <v>9366.2941176470595</v>
      </c>
      <c r="J16" s="106">
        <f t="shared" ref="J16:J28" si="478">-I16/E16</f>
        <v>-0.26017483660130702</v>
      </c>
      <c r="L16" s="106" t="s">
        <v>162</v>
      </c>
      <c r="M16" s="106">
        <v>4226</v>
      </c>
      <c r="N16" s="106">
        <v>493</v>
      </c>
      <c r="O16" s="106">
        <f t="shared" si="476"/>
        <v>4719</v>
      </c>
      <c r="Q16" s="106">
        <v>6344</v>
      </c>
    </row>
    <row r="17" ht="22" customHeight="1">
      <c r="A17" s="118">
        <v>13</v>
      </c>
      <c r="B17" s="118"/>
      <c r="C17" s="118" t="s">
        <v>163</v>
      </c>
      <c r="D17" s="118">
        <v>27</v>
      </c>
      <c r="E17" s="119">
        <f t="shared" si="473"/>
        <v>81000</v>
      </c>
      <c r="F17" s="120">
        <f t="shared" si="474"/>
        <v>45965.911764705903</v>
      </c>
      <c r="G17" s="120">
        <v>5911</v>
      </c>
      <c r="H17" s="120">
        <v>12870</v>
      </c>
      <c r="I17" s="121">
        <f t="shared" si="475"/>
        <v>27184.911764705899</v>
      </c>
      <c r="L17" s="106" t="s">
        <v>163</v>
      </c>
      <c r="M17" s="106">
        <v>4388</v>
      </c>
      <c r="N17" s="106">
        <v>1523</v>
      </c>
      <c r="O17" s="106">
        <f t="shared" si="476"/>
        <v>5911</v>
      </c>
      <c r="Q17" s="106">
        <v>12870</v>
      </c>
    </row>
    <row r="18" ht="22" customHeight="1">
      <c r="A18" s="118">
        <v>14</v>
      </c>
      <c r="B18" s="118" t="s">
        <v>384</v>
      </c>
      <c r="C18" s="122" t="s">
        <v>194</v>
      </c>
      <c r="D18" s="118">
        <v>6</v>
      </c>
      <c r="E18" s="119">
        <f t="shared" si="473"/>
        <v>18000</v>
      </c>
      <c r="F18" s="120">
        <f t="shared" si="474"/>
        <v>10214.647058823501</v>
      </c>
      <c r="G18" s="120">
        <v>9042</v>
      </c>
      <c r="H18" s="120">
        <v>4945</v>
      </c>
      <c r="I18" s="121">
        <f t="shared" si="475"/>
        <v>-3772.3529411764698</v>
      </c>
      <c r="J18" s="106">
        <f t="shared" si="478"/>
        <v>0.209575163398693</v>
      </c>
      <c r="L18" s="106" t="s">
        <v>194</v>
      </c>
      <c r="M18" s="106">
        <v>6940</v>
      </c>
      <c r="N18" s="106">
        <v>2102</v>
      </c>
      <c r="O18" s="106">
        <f t="shared" si="476"/>
        <v>9042</v>
      </c>
      <c r="Q18" s="106">
        <v>4945</v>
      </c>
    </row>
    <row r="19" ht="22" customHeight="1">
      <c r="A19" s="118">
        <v>15</v>
      </c>
      <c r="B19" s="118"/>
      <c r="C19" s="118" t="s">
        <v>195</v>
      </c>
      <c r="D19" s="118">
        <v>5</v>
      </c>
      <c r="E19" s="119">
        <f t="shared" si="473"/>
        <v>15000</v>
      </c>
      <c r="F19" s="120">
        <f t="shared" si="474"/>
        <v>8512.2058823529405</v>
      </c>
      <c r="G19" s="120">
        <v>8160</v>
      </c>
      <c r="H19" s="120">
        <v>6363</v>
      </c>
      <c r="I19" s="121">
        <f t="shared" si="475"/>
        <v>-6010.7941176470604</v>
      </c>
      <c r="J19" s="106">
        <f t="shared" si="478"/>
        <v>0.40071960784313698</v>
      </c>
      <c r="L19" s="106" t="s">
        <v>195</v>
      </c>
      <c r="M19" s="106">
        <v>6288</v>
      </c>
      <c r="N19" s="106">
        <v>1872</v>
      </c>
      <c r="O19" s="106">
        <f t="shared" si="476"/>
        <v>8160</v>
      </c>
      <c r="Q19" s="106">
        <v>6363</v>
      </c>
    </row>
    <row r="20" ht="22" customHeight="1">
      <c r="A20" s="118">
        <v>16</v>
      </c>
      <c r="B20" s="123" t="s">
        <v>385</v>
      </c>
      <c r="C20" s="122" t="s">
        <v>199</v>
      </c>
      <c r="D20" s="118">
        <v>20</v>
      </c>
      <c r="E20" s="119">
        <f t="shared" si="473"/>
        <v>60000</v>
      </c>
      <c r="F20" s="120">
        <f t="shared" si="474"/>
        <v>34048.823529411799</v>
      </c>
      <c r="G20" s="120">
        <v>3962</v>
      </c>
      <c r="H20" s="120">
        <v>9064</v>
      </c>
      <c r="I20" s="121">
        <f t="shared" si="475"/>
        <v>21022.823529411799</v>
      </c>
      <c r="L20" s="106" t="s">
        <v>199</v>
      </c>
      <c r="M20" s="106">
        <v>1059</v>
      </c>
      <c r="N20" s="106">
        <v>2903</v>
      </c>
      <c r="O20" s="106">
        <f t="shared" si="476"/>
        <v>3962</v>
      </c>
      <c r="Q20" s="106">
        <v>9064</v>
      </c>
    </row>
    <row r="21" ht="22" customHeight="1">
      <c r="A21" s="118">
        <v>17</v>
      </c>
      <c r="B21" s="124"/>
      <c r="C21" s="118" t="s">
        <v>200</v>
      </c>
      <c r="D21" s="118">
        <v>8</v>
      </c>
      <c r="E21" s="119">
        <f t="shared" si="473"/>
        <v>24000</v>
      </c>
      <c r="F21" s="120">
        <f t="shared" si="474"/>
        <v>13619.529411764701</v>
      </c>
      <c r="G21" s="120">
        <v>3680</v>
      </c>
      <c r="H21" s="120">
        <v>4749</v>
      </c>
      <c r="I21" s="121">
        <f t="shared" si="475"/>
        <v>5190.5294117647099</v>
      </c>
      <c r="J21" s="106">
        <f t="shared" si="478"/>
        <v>-0.21627205882352901</v>
      </c>
      <c r="L21" s="106" t="s">
        <v>200</v>
      </c>
      <c r="M21" s="106">
        <v>3634</v>
      </c>
      <c r="N21" s="106">
        <v>46</v>
      </c>
      <c r="O21" s="106">
        <f t="shared" si="476"/>
        <v>3680</v>
      </c>
      <c r="Q21" s="106">
        <v>4749</v>
      </c>
    </row>
    <row r="22" ht="22" customHeight="1">
      <c r="A22" s="118">
        <v>18</v>
      </c>
      <c r="B22" s="124"/>
      <c r="C22" s="122" t="s">
        <v>202</v>
      </c>
      <c r="D22" s="118">
        <v>22</v>
      </c>
      <c r="E22" s="119">
        <f t="shared" si="473"/>
        <v>66000</v>
      </c>
      <c r="F22" s="120">
        <f t="shared" si="474"/>
        <v>37453.705882352901</v>
      </c>
      <c r="G22" s="120">
        <v>8703</v>
      </c>
      <c r="H22" s="120">
        <v>13381</v>
      </c>
      <c r="I22" s="121">
        <f t="shared" si="475"/>
        <v>15369.705882352901</v>
      </c>
      <c r="L22" s="106" t="s">
        <v>202</v>
      </c>
      <c r="M22" s="106">
        <v>7534</v>
      </c>
      <c r="N22" s="106">
        <v>1169</v>
      </c>
      <c r="O22" s="106">
        <f t="shared" si="476"/>
        <v>8703</v>
      </c>
      <c r="Q22" s="106">
        <v>13381</v>
      </c>
    </row>
    <row r="23" ht="22" customHeight="1">
      <c r="A23" s="118">
        <v>19</v>
      </c>
      <c r="B23" s="125"/>
      <c r="C23" s="118" t="s">
        <v>203</v>
      </c>
      <c r="D23" s="118">
        <v>7</v>
      </c>
      <c r="E23" s="119">
        <f t="shared" si="473"/>
        <v>21000</v>
      </c>
      <c r="F23" s="120">
        <f t="shared" si="474"/>
        <v>11917.088235294101</v>
      </c>
      <c r="G23" s="120">
        <v>9179</v>
      </c>
      <c r="H23" s="120">
        <v>8780</v>
      </c>
      <c r="I23" s="121">
        <f t="shared" si="475"/>
        <v>-6041.9117647058802</v>
      </c>
      <c r="J23" s="106">
        <f t="shared" si="478"/>
        <v>0.28771008403361298</v>
      </c>
      <c r="L23" s="106" t="s">
        <v>203</v>
      </c>
      <c r="M23" s="106">
        <v>7918</v>
      </c>
      <c r="N23" s="106">
        <v>1261</v>
      </c>
      <c r="O23" s="106">
        <f t="shared" si="476"/>
        <v>9179</v>
      </c>
      <c r="Q23" s="106">
        <v>8780</v>
      </c>
    </row>
    <row r="24" ht="22" customHeight="1">
      <c r="A24" s="118">
        <v>20</v>
      </c>
      <c r="B24" s="123" t="s">
        <v>386</v>
      </c>
      <c r="C24" s="118" t="s">
        <v>213</v>
      </c>
      <c r="D24" s="118">
        <v>37</v>
      </c>
      <c r="E24" s="119">
        <f t="shared" si="473"/>
        <v>111000</v>
      </c>
      <c r="F24" s="120">
        <f t="shared" si="474"/>
        <v>62990.323529411799</v>
      </c>
      <c r="G24" s="120">
        <v>57549</v>
      </c>
      <c r="H24" s="120">
        <v>33970</v>
      </c>
      <c r="I24" s="121">
        <f t="shared" si="475"/>
        <v>-28528.676470588201</v>
      </c>
      <c r="J24" s="106">
        <f t="shared" si="478"/>
        <v>0.25701510333863298</v>
      </c>
      <c r="L24" s="106" t="s">
        <v>213</v>
      </c>
      <c r="M24" s="106">
        <v>39727</v>
      </c>
      <c r="N24" s="106">
        <v>17822</v>
      </c>
      <c r="O24" s="106">
        <f t="shared" si="476"/>
        <v>57549</v>
      </c>
      <c r="Q24" s="106">
        <v>33970</v>
      </c>
    </row>
    <row r="25" ht="22" customHeight="1">
      <c r="A25" s="118">
        <v>21</v>
      </c>
      <c r="B25" s="124"/>
      <c r="C25" s="118" t="s">
        <v>214</v>
      </c>
      <c r="D25" s="118">
        <v>29</v>
      </c>
      <c r="E25" s="119">
        <f t="shared" si="473"/>
        <v>87000</v>
      </c>
      <c r="F25" s="120">
        <f t="shared" si="474"/>
        <v>49370.794117647099</v>
      </c>
      <c r="G25" s="120">
        <v>51426</v>
      </c>
      <c r="H25" s="120">
        <v>37190</v>
      </c>
      <c r="I25" s="121">
        <f t="shared" si="475"/>
        <v>-39245.205882352901</v>
      </c>
      <c r="J25" s="106">
        <f t="shared" si="478"/>
        <v>0.45109432048681503</v>
      </c>
      <c r="L25" s="106" t="s">
        <v>214</v>
      </c>
      <c r="M25" s="106">
        <v>41283</v>
      </c>
      <c r="N25" s="106">
        <v>10143</v>
      </c>
      <c r="O25" s="106">
        <f t="shared" si="476"/>
        <v>51426</v>
      </c>
      <c r="Q25" s="106">
        <v>37190</v>
      </c>
    </row>
    <row r="26" ht="22" customHeight="1">
      <c r="A26" s="118">
        <v>22</v>
      </c>
      <c r="B26" s="125"/>
      <c r="C26" s="118" t="s">
        <v>215</v>
      </c>
      <c r="D26" s="118">
        <v>13</v>
      </c>
      <c r="E26" s="119">
        <f t="shared" si="473"/>
        <v>39000</v>
      </c>
      <c r="F26" s="120">
        <f t="shared" si="474"/>
        <v>22131.7352941176</v>
      </c>
      <c r="G26" s="120">
        <v>30859</v>
      </c>
      <c r="H26" s="120">
        <v>20826</v>
      </c>
      <c r="I26" s="121">
        <f t="shared" si="475"/>
        <v>-29553.2647058824</v>
      </c>
      <c r="J26" s="106">
        <f t="shared" si="478"/>
        <v>0.75777601809954798</v>
      </c>
      <c r="L26" s="106" t="s">
        <v>215</v>
      </c>
      <c r="M26" s="106">
        <v>24171</v>
      </c>
      <c r="N26" s="106">
        <v>6688</v>
      </c>
      <c r="O26" s="106">
        <f t="shared" si="476"/>
        <v>30859</v>
      </c>
      <c r="Q26" s="106">
        <v>20826</v>
      </c>
    </row>
    <row r="27" ht="22" customHeight="1">
      <c r="A27" s="118">
        <v>23</v>
      </c>
      <c r="B27" s="123" t="s">
        <v>387</v>
      </c>
      <c r="C27" s="122" t="s">
        <v>228</v>
      </c>
      <c r="D27" s="118">
        <v>14</v>
      </c>
      <c r="E27" s="119">
        <f t="shared" si="473"/>
        <v>42000</v>
      </c>
      <c r="F27" s="120">
        <f t="shared" si="474"/>
        <v>23834.176470588201</v>
      </c>
      <c r="G27" s="120">
        <v>7459</v>
      </c>
      <c r="H27" s="120">
        <v>8214</v>
      </c>
      <c r="I27" s="121">
        <f t="shared" si="475"/>
        <v>8161.1764705882297</v>
      </c>
      <c r="L27" s="106" t="s">
        <v>228</v>
      </c>
      <c r="M27" s="106">
        <v>5118</v>
      </c>
      <c r="N27" s="106">
        <v>2341</v>
      </c>
      <c r="O27" s="106">
        <f t="shared" si="476"/>
        <v>7459</v>
      </c>
      <c r="Q27" s="106">
        <v>8214</v>
      </c>
    </row>
    <row r="28" ht="22" customHeight="1">
      <c r="A28" s="118">
        <v>24</v>
      </c>
      <c r="B28" s="124"/>
      <c r="C28" s="118" t="s">
        <v>230</v>
      </c>
      <c r="D28" s="118">
        <v>7</v>
      </c>
      <c r="E28" s="119">
        <f t="shared" si="473"/>
        <v>21000</v>
      </c>
      <c r="F28" s="120">
        <f t="shared" si="474"/>
        <v>11917.088235294101</v>
      </c>
      <c r="G28" s="120">
        <v>6218</v>
      </c>
      <c r="H28" s="120">
        <v>5066</v>
      </c>
      <c r="I28" s="121">
        <f t="shared" si="475"/>
        <v>633.088235294117</v>
      </c>
      <c r="J28" s="106">
        <f t="shared" si="478"/>
        <v>-3.0147058823529398e-002</v>
      </c>
      <c r="L28" s="106" t="s">
        <v>230</v>
      </c>
      <c r="M28" s="106">
        <v>4839</v>
      </c>
      <c r="N28" s="106">
        <v>1379</v>
      </c>
      <c r="O28" s="106">
        <f t="shared" si="476"/>
        <v>6218</v>
      </c>
      <c r="Q28" s="106">
        <v>5066</v>
      </c>
    </row>
    <row r="29" ht="22" customHeight="1">
      <c r="A29" s="118">
        <v>25</v>
      </c>
      <c r="B29" s="125"/>
      <c r="C29" s="122" t="s">
        <v>231</v>
      </c>
      <c r="D29" s="118">
        <v>23</v>
      </c>
      <c r="E29" s="119">
        <f t="shared" si="473"/>
        <v>69000</v>
      </c>
      <c r="F29" s="120">
        <f t="shared" si="474"/>
        <v>39156.147058823502</v>
      </c>
      <c r="G29" s="120">
        <v>11078</v>
      </c>
      <c r="H29" s="120">
        <v>14292</v>
      </c>
      <c r="I29" s="121">
        <f t="shared" si="475"/>
        <v>13786.147058823501</v>
      </c>
      <c r="L29" s="106" t="s">
        <v>231</v>
      </c>
      <c r="M29" s="106">
        <v>7790</v>
      </c>
      <c r="N29" s="106">
        <v>3288</v>
      </c>
      <c r="O29" s="106">
        <f t="shared" si="476"/>
        <v>11078</v>
      </c>
      <c r="Q29" s="106">
        <v>14292</v>
      </c>
    </row>
  </sheetData>
  <mergeCells count="10">
    <mergeCell ref="A1:I1"/>
    <mergeCell ref="A4:C4"/>
    <mergeCell ref="B5:B7"/>
    <mergeCell ref="B8:B10"/>
    <mergeCell ref="B11:B14"/>
    <mergeCell ref="B15:B17"/>
    <mergeCell ref="B18:B19"/>
    <mergeCell ref="B20:B23"/>
    <mergeCell ref="B24:B26"/>
    <mergeCell ref="B27:B29"/>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4">
    <tabColor indexed="2"/>
    <outlinePr applyStyles="0" summaryBelow="1" summaryRight="1" showOutlineSymbols="1"/>
    <pageSetUpPr autoPageBreaks="1" fitToPage="0"/>
  </sheetPr>
  <sheetViews>
    <sheetView zoomScale="100" workbookViewId="0">
      <pane xSplit="2" ySplit="9" topLeftCell="C10" activePane="bottomRight" state="frozen"/>
      <selection activeCell="BO15" activeCellId="0" sqref="BO15"/>
    </sheetView>
  </sheetViews>
  <sheetFormatPr defaultColWidth="9" defaultRowHeight="13.5"/>
  <cols>
    <col customWidth="1" min="1" max="1" style="1" width="4.875"/>
    <col customWidth="1" min="2" max="2" style="2" width="10.883333333333301"/>
    <col customWidth="1" min="3" max="3" style="1" width="8.125"/>
    <col customWidth="1" min="4" max="4" style="1" width="5.2916666666666696"/>
    <col customWidth="1" min="5" max="6" style="1" width="7"/>
    <col customWidth="1" hidden="1" min="7" max="14" style="1" width="8.6750000000000007"/>
    <col customWidth="1" min="15" max="15" style="1" width="13"/>
    <col customWidth="1" hidden="1" min="16" max="16" style="1" width="8.7583333333333293"/>
    <col customWidth="1" hidden="1" min="17" max="21" style="1" width="7.625"/>
    <col customWidth="1" min="22" max="22" style="4" width="10.875"/>
    <col customWidth="1" min="23" max="23" style="4" width="8.125"/>
    <col customWidth="1" min="24" max="24" style="1" width="7.625"/>
    <col customWidth="1" min="25" max="25" style="1" width="6.5"/>
    <col customWidth="1" min="26" max="26" style="4" width="9.0999999999999996"/>
    <col customWidth="1" min="27" max="27" style="4" width="8.7583333333333293"/>
    <col customWidth="1" min="28" max="29" style="4" width="8.125"/>
    <col customWidth="1" min="30" max="30" style="1" width="8.2583333333333293"/>
    <col customWidth="1" min="31" max="31" style="4" width="7.625"/>
    <col customWidth="1" min="32" max="35" style="1" width="7.6416666666666702"/>
    <col customWidth="1" hidden="1" min="36" max="36" style="126" width="8.81666666666667"/>
    <col customWidth="1" hidden="1" min="37" max="37" style="3" width="8.81666666666667"/>
    <col customWidth="1" min="38" max="38" style="126" width="7.625"/>
    <col customWidth="1" hidden="1" min="39" max="39" style="126" width="8.2583333333333293"/>
    <col customWidth="1" hidden="1" min="40" max="40" style="127" width="8.81666666666667"/>
    <col customWidth="1" min="41" max="41" style="3" width="6.625"/>
    <col customWidth="1" min="42" max="42" style="3" width="6.125"/>
    <col customWidth="1" min="43" max="43" style="3" width="6.375"/>
    <col customWidth="1" min="44" max="44" style="3" width="7.6749999999999998"/>
    <col customWidth="1" min="45" max="45" style="3" width="5.625"/>
    <col customWidth="1" min="46" max="46" style="128" width="5.625"/>
    <col customWidth="1" min="47" max="47" style="126" width="6.2416666666666698"/>
    <col customWidth="1" min="48" max="49" style="3" width="6.7000000000000002"/>
    <col customWidth="1" min="50" max="50" style="3" width="7.6749999999999998"/>
    <col customWidth="1" hidden="1" min="51" max="51" style="127" width="10.2916666666667"/>
    <col customWidth="1" min="52" max="52" style="127" width="7.375"/>
    <col customWidth="1" min="53" max="53" style="3" width="5.625"/>
    <col customWidth="1" min="54" max="54" style="3" width="6.875"/>
    <col customWidth="1" min="55" max="55" style="3" width="6.2583333333333302"/>
    <col customWidth="1" min="56" max="56" style="127" width="7.5"/>
    <col customWidth="1" min="57" max="57" style="3" width="7"/>
    <col customWidth="1" hidden="1" min="58" max="58" style="127" width="7.7916666666666696"/>
    <col customWidth="1" hidden="1" min="59" max="59" style="3" width="6.625"/>
    <col customWidth="1" hidden="1" min="60" max="60" style="3" width="7.05833333333333"/>
    <col customWidth="1" hidden="1" min="61" max="61" style="4" width="8.7583333333333293"/>
    <col customWidth="1" hidden="1" min="62" max="62" style="129" width="7.375"/>
    <col customWidth="1" min="63" max="63" style="130" width="9.5"/>
    <col customWidth="1" min="64" max="65" style="1" width="8.6750000000000007"/>
    <col customWidth="1" min="66" max="66" style="4" width="7.5"/>
    <col customWidth="1" min="67" max="67" style="1" width="8.2583333333333293"/>
    <col customWidth="1" min="68" max="68" style="4" width="8.2583333333333293"/>
    <col customWidth="1" min="69" max="70" style="5" width="9"/>
  </cols>
  <sheetData>
    <row r="1" s="0" customFormat="1" ht="16" customHeight="1">
      <c r="A1" s="1" t="s">
        <v>0</v>
      </c>
      <c r="B1" s="2"/>
      <c r="C1" s="1"/>
      <c r="D1" s="1"/>
      <c r="E1" s="1"/>
      <c r="F1" s="6"/>
      <c r="G1" s="1"/>
      <c r="H1" s="1"/>
      <c r="I1" s="1"/>
      <c r="J1" s="1"/>
      <c r="K1" s="1"/>
      <c r="L1" s="1"/>
      <c r="M1" s="1"/>
      <c r="N1" s="1"/>
      <c r="O1" s="4"/>
      <c r="P1" s="4"/>
      <c r="Q1" s="4"/>
      <c r="R1" s="4"/>
      <c r="S1" s="4"/>
      <c r="T1" s="4"/>
      <c r="U1" s="4"/>
      <c r="V1" s="4"/>
      <c r="W1" s="4"/>
      <c r="X1" s="4"/>
      <c r="Y1" s="4"/>
      <c r="Z1" s="4"/>
      <c r="AA1" s="4"/>
      <c r="AB1" s="4"/>
      <c r="AC1" s="4"/>
      <c r="AD1" s="131">
        <f>AD3/1348663</f>
        <v>0.34999996292624602</v>
      </c>
      <c r="AE1" s="4"/>
      <c r="AF1" s="4"/>
      <c r="AG1" s="4"/>
      <c r="AH1" s="4"/>
      <c r="AI1" s="131">
        <f>AI3/1348663</f>
        <v>0.10000000000000001</v>
      </c>
      <c r="AJ1" s="4"/>
      <c r="AK1" s="4"/>
      <c r="AL1" s="4"/>
      <c r="AM1" s="4"/>
      <c r="AN1" s="132"/>
      <c r="AO1" s="131">
        <f>AO3/1348663</f>
        <v>5.9318006054885401e-002</v>
      </c>
      <c r="AP1" s="131">
        <f>AP3/1348663</f>
        <v>2.2244252270582e-002</v>
      </c>
      <c r="AQ1" s="4"/>
      <c r="AR1" s="4"/>
      <c r="AS1" s="131">
        <f t="shared" ref="AS1:AX1" si="479">AS3/1348663</f>
        <v>3.7073753784303401e-002</v>
      </c>
      <c r="AT1" s="133"/>
      <c r="AU1" s="131">
        <f t="shared" si="479"/>
        <v>3.7073753784303401e-002</v>
      </c>
      <c r="AV1" s="4"/>
      <c r="AW1" s="131">
        <f t="shared" si="479"/>
        <v>8.8977009082328196e-002</v>
      </c>
      <c r="AX1" s="131">
        <f t="shared" si="479"/>
        <v>0.205097119177239</v>
      </c>
      <c r="AY1" s="132"/>
      <c r="AZ1" s="132"/>
      <c r="BA1" s="131">
        <f>BA3/1348663</f>
        <v>2.7879462845796201e-002</v>
      </c>
      <c r="BB1" s="4"/>
      <c r="BC1" s="131">
        <f>BC3/1348663</f>
        <v>4.0781129162733798e-002</v>
      </c>
      <c r="BD1" s="132"/>
      <c r="BE1" s="131">
        <f>BE3/1348663</f>
        <v>3.13391855489474e-002</v>
      </c>
      <c r="BF1" s="134"/>
      <c r="BI1" s="135"/>
      <c r="BJ1" s="136"/>
      <c r="BK1" s="137"/>
      <c r="BL1" s="1"/>
      <c r="BM1" s="1"/>
      <c r="BN1" s="4"/>
      <c r="BO1" s="1"/>
      <c r="BP1" s="4"/>
    </row>
    <row r="2" ht="21" customHeight="1">
      <c r="A2" s="7" t="s">
        <v>388</v>
      </c>
      <c r="B2" s="7"/>
      <c r="C2" s="7"/>
      <c r="D2" s="7"/>
      <c r="E2" s="7"/>
      <c r="F2" s="7"/>
      <c r="G2" s="7"/>
      <c r="H2" s="7"/>
      <c r="I2" s="7"/>
      <c r="J2" s="7"/>
      <c r="K2" s="7"/>
      <c r="L2" s="7"/>
      <c r="M2" s="7"/>
      <c r="N2" s="7"/>
      <c r="O2" s="7"/>
      <c r="P2" s="7"/>
      <c r="Q2" s="7"/>
      <c r="R2" s="7"/>
      <c r="S2" s="7"/>
      <c r="T2" s="7"/>
      <c r="U2" s="7"/>
      <c r="V2" s="8"/>
      <c r="W2" s="8"/>
      <c r="X2" s="7"/>
      <c r="Y2" s="7"/>
      <c r="Z2" s="8"/>
      <c r="AA2" s="8"/>
      <c r="AB2" s="8"/>
      <c r="AC2" s="8"/>
      <c r="AD2" s="7"/>
      <c r="AE2" s="8"/>
      <c r="AF2" s="7"/>
      <c r="AG2" s="7"/>
      <c r="AH2" s="7"/>
      <c r="AI2" s="7"/>
      <c r="AJ2" s="8"/>
      <c r="AK2" s="7"/>
      <c r="AL2" s="8"/>
      <c r="AM2" s="8"/>
      <c r="AN2" s="138"/>
      <c r="AO2" s="7"/>
      <c r="AP2" s="7"/>
      <c r="AQ2" s="7"/>
      <c r="AR2" s="7"/>
      <c r="AS2" s="7"/>
      <c r="AT2" s="139"/>
      <c r="AU2" s="8"/>
      <c r="AV2" s="7"/>
      <c r="AW2" s="7"/>
      <c r="AX2" s="7"/>
      <c r="AY2" s="138"/>
      <c r="AZ2" s="138"/>
      <c r="BA2" s="7"/>
      <c r="BB2" s="7"/>
      <c r="BC2" s="7"/>
      <c r="BD2" s="138"/>
      <c r="BE2" s="7"/>
      <c r="BF2" s="138"/>
      <c r="BG2" s="7"/>
      <c r="BH2" s="7"/>
      <c r="BI2" s="7"/>
      <c r="BJ2" s="140"/>
      <c r="BK2" s="141"/>
      <c r="BL2" s="7"/>
      <c r="BM2" s="7"/>
      <c r="BN2" s="8"/>
      <c r="BO2" s="7"/>
      <c r="BP2" s="8"/>
    </row>
    <row r="3" ht="21" customHeight="1">
      <c r="A3" s="3"/>
      <c r="B3" s="9"/>
      <c r="C3" s="3"/>
      <c r="D3" s="3"/>
      <c r="E3" s="3"/>
      <c r="F3" s="3"/>
      <c r="G3" s="3"/>
      <c r="H3" s="3"/>
      <c r="I3" s="3"/>
      <c r="J3" s="3"/>
      <c r="K3" s="3"/>
      <c r="L3" s="3"/>
      <c r="M3" s="3"/>
      <c r="N3" s="3"/>
      <c r="O3" s="6"/>
      <c r="P3" s="6"/>
      <c r="Q3" s="6"/>
      <c r="R3" s="6"/>
      <c r="S3" s="6"/>
      <c r="T3" s="6"/>
      <c r="U3" s="6"/>
      <c r="V3" s="142"/>
      <c r="W3" s="142"/>
      <c r="X3" s="6"/>
      <c r="Y3" s="6"/>
      <c r="Z3" s="142"/>
      <c r="AA3" s="142"/>
      <c r="AB3" s="142"/>
      <c r="AC3" s="142"/>
      <c r="AD3" s="130">
        <f>AD184+AD178+AD171+AD163+AD155+AD147+AD132+AD119+AD113+AD100+AD89+AD73+AD61+AD49+AD35+AD18</f>
        <v>472032</v>
      </c>
      <c r="AE3" s="142"/>
      <c r="AF3" s="6"/>
      <c r="AG3" s="6"/>
      <c r="AH3" s="6"/>
      <c r="AI3" s="130">
        <f>AI184+AI178+AI171+AI163+AI155+AI147+AI132+AI119+AI113+AI100+AI89+AI73+AI61+AI49+AI35+AI18</f>
        <v>134866.29999999999</v>
      </c>
      <c r="AM3" s="6"/>
      <c r="AO3" s="130">
        <f t="shared" ref="AO3:AS3" si="480">AO184+AO178+AO171+AO163+AO155+AO147+AO132+AO119+AO113+AO100+AO89+AO73+AO61+AO49+AO35+AO18</f>
        <v>80000</v>
      </c>
      <c r="AP3" s="130">
        <f t="shared" si="480"/>
        <v>30000</v>
      </c>
      <c r="AS3" s="130">
        <f t="shared" si="480"/>
        <v>50000</v>
      </c>
      <c r="AU3" s="130">
        <f>AU184+AU178+AU171+AU163+AU155+AU147+AU132+AU119+AU113+AU100+AU89+AU73+AU61+AU49+AU35+AU18</f>
        <v>50000</v>
      </c>
      <c r="AW3" s="130">
        <f>AW184+AW178+AW171+AW163+AW155+AW147+AW132+AW119+AW113+AW100+AW89+AW73+AW61+AW49+AW35+AW18</f>
        <v>120000</v>
      </c>
      <c r="AX3" s="143">
        <v>276606.89604093297</v>
      </c>
      <c r="BA3" s="130">
        <f t="shared" ref="BA3:BE3" si="481">BA184+BA178+BA171+BA163+BA155+BA147+BA132+BA119+BA113+BA100+BA89+BA73+BA61+BA49+BA35+BA18</f>
        <v>37600</v>
      </c>
      <c r="BC3" s="130">
        <f t="shared" si="481"/>
        <v>55000</v>
      </c>
      <c r="BE3" s="130">
        <f t="shared" si="481"/>
        <v>42266</v>
      </c>
      <c r="BG3" s="6"/>
      <c r="BI3" s="142"/>
      <c r="BJ3" s="144"/>
      <c r="BK3" s="130">
        <f>BK184+BK178+BK171+BK163+BK155+BK147+BK132+BK119+BK113+BK100+BK89+BK73+BK61+BK49+BK35+BK18</f>
        <v>1348663.1593923201</v>
      </c>
      <c r="BL3" s="3"/>
      <c r="BM3" s="3"/>
      <c r="BN3" s="142"/>
      <c r="BO3" s="6"/>
      <c r="BP3" s="142"/>
    </row>
    <row r="4" s="10" customFormat="1" ht="18" customHeight="1">
      <c r="A4" s="11" t="s">
        <v>3</v>
      </c>
      <c r="B4" s="11" t="s">
        <v>4</v>
      </c>
      <c r="C4" s="11" t="s">
        <v>5</v>
      </c>
      <c r="D4" s="11" t="s">
        <v>6</v>
      </c>
      <c r="E4" s="11" t="s">
        <v>7</v>
      </c>
      <c r="F4" s="11" t="s">
        <v>8</v>
      </c>
      <c r="G4" s="11" t="s">
        <v>389</v>
      </c>
      <c r="H4" s="12" t="s">
        <v>390</v>
      </c>
      <c r="I4" s="145" t="s">
        <v>391</v>
      </c>
      <c r="J4" s="145" t="s">
        <v>392</v>
      </c>
      <c r="K4" s="12" t="s">
        <v>393</v>
      </c>
      <c r="L4" s="12" t="s">
        <v>394</v>
      </c>
      <c r="M4" s="145" t="s">
        <v>395</v>
      </c>
      <c r="N4" s="145" t="s">
        <v>396</v>
      </c>
      <c r="O4" s="13" t="s">
        <v>397</v>
      </c>
      <c r="P4" s="13"/>
      <c r="Q4" s="13"/>
      <c r="R4" s="13"/>
      <c r="S4" s="13"/>
      <c r="T4" s="13"/>
      <c r="U4" s="13"/>
      <c r="V4" s="146"/>
      <c r="W4" s="146"/>
      <c r="X4" s="13"/>
      <c r="Y4" s="13"/>
      <c r="Z4" s="146"/>
      <c r="AA4" s="146"/>
      <c r="AB4" s="146"/>
      <c r="AC4" s="146"/>
      <c r="AD4" s="13"/>
      <c r="AE4" s="146" t="s">
        <v>398</v>
      </c>
      <c r="AF4" s="13"/>
      <c r="AG4" s="13"/>
      <c r="AH4" s="13"/>
      <c r="AI4" s="13"/>
      <c r="AJ4" s="146" t="s">
        <v>399</v>
      </c>
      <c r="AK4" s="13"/>
      <c r="AL4" s="146"/>
      <c r="AM4" s="146"/>
      <c r="AN4" s="147"/>
      <c r="AO4" s="13"/>
      <c r="AP4" s="13"/>
      <c r="AQ4" s="13"/>
      <c r="AR4" s="13"/>
      <c r="AS4" s="13"/>
      <c r="AT4" s="148"/>
      <c r="AU4" s="146"/>
      <c r="AV4" s="13"/>
      <c r="AW4" s="13"/>
      <c r="AX4" s="13"/>
      <c r="AY4" s="149" t="s">
        <v>400</v>
      </c>
      <c r="AZ4" s="149"/>
      <c r="BA4" s="150"/>
      <c r="BB4" s="150"/>
      <c r="BC4" s="150"/>
      <c r="BD4" s="149"/>
      <c r="BE4" s="150"/>
      <c r="BF4" s="150"/>
      <c r="BG4" s="150"/>
      <c r="BH4" s="14" t="s">
        <v>401</v>
      </c>
      <c r="BI4" s="26" t="s">
        <v>402</v>
      </c>
      <c r="BJ4" s="151" t="s">
        <v>403</v>
      </c>
      <c r="BK4" s="26" t="s">
        <v>404</v>
      </c>
      <c r="BL4" s="152" t="s">
        <v>395</v>
      </c>
      <c r="BM4" s="145" t="s">
        <v>405</v>
      </c>
      <c r="BN4" s="26" t="s">
        <v>406</v>
      </c>
      <c r="BO4" s="15" t="s">
        <v>407</v>
      </c>
      <c r="BP4" s="153"/>
    </row>
    <row r="5" s="10" customFormat="1" ht="39" customHeight="1">
      <c r="A5" s="18"/>
      <c r="B5" s="18"/>
      <c r="C5" s="18"/>
      <c r="D5" s="18"/>
      <c r="E5" s="18"/>
      <c r="F5" s="18"/>
      <c r="G5" s="18"/>
      <c r="H5" s="19"/>
      <c r="I5" s="154"/>
      <c r="J5" s="154"/>
      <c r="K5" s="19"/>
      <c r="L5" s="19"/>
      <c r="M5" s="154"/>
      <c r="N5" s="154"/>
      <c r="O5" s="14" t="s">
        <v>408</v>
      </c>
      <c r="P5" s="14"/>
      <c r="Q5" s="14"/>
      <c r="R5" s="14"/>
      <c r="S5" s="14"/>
      <c r="T5" s="14"/>
      <c r="U5" s="14"/>
      <c r="V5" s="25" t="s">
        <v>409</v>
      </c>
      <c r="W5" s="25" t="s">
        <v>410</v>
      </c>
      <c r="X5" s="14" t="s">
        <v>411</v>
      </c>
      <c r="Y5" s="14"/>
      <c r="Z5" s="14"/>
      <c r="AA5" s="14"/>
      <c r="AB5" s="14"/>
      <c r="AC5" s="14" t="s">
        <v>412</v>
      </c>
      <c r="AD5" s="15" t="s">
        <v>23</v>
      </c>
      <c r="AE5" s="146"/>
      <c r="AF5" s="13"/>
      <c r="AG5" s="13"/>
      <c r="AH5" s="13"/>
      <c r="AI5" s="13"/>
      <c r="AJ5" s="146"/>
      <c r="AK5" s="13"/>
      <c r="AL5" s="146"/>
      <c r="AM5" s="146"/>
      <c r="AN5" s="147"/>
      <c r="AO5" s="13"/>
      <c r="AP5" s="13"/>
      <c r="AQ5" s="13"/>
      <c r="AR5" s="13"/>
      <c r="AS5" s="13"/>
      <c r="AT5" s="148"/>
      <c r="AU5" s="146"/>
      <c r="AV5" s="13"/>
      <c r="AW5" s="13"/>
      <c r="AX5" s="13"/>
      <c r="AY5" s="149"/>
      <c r="AZ5" s="149"/>
      <c r="BA5" s="150"/>
      <c r="BB5" s="150"/>
      <c r="BC5" s="150"/>
      <c r="BD5" s="149"/>
      <c r="BE5" s="150"/>
      <c r="BF5" s="150"/>
      <c r="BG5" s="150"/>
      <c r="BH5" s="14"/>
      <c r="BI5" s="26"/>
      <c r="BJ5" s="151"/>
      <c r="BK5" s="26"/>
      <c r="BL5" s="152"/>
      <c r="BM5" s="154"/>
      <c r="BN5" s="26"/>
      <c r="BO5" s="15"/>
      <c r="BP5" s="153"/>
    </row>
    <row r="6" s="10" customFormat="1" ht="51" customHeight="1">
      <c r="A6" s="18"/>
      <c r="B6" s="18"/>
      <c r="C6" s="18"/>
      <c r="D6" s="18"/>
      <c r="E6" s="18"/>
      <c r="F6" s="18"/>
      <c r="G6" s="18"/>
      <c r="H6" s="19"/>
      <c r="I6" s="154"/>
      <c r="J6" s="154"/>
      <c r="K6" s="19"/>
      <c r="L6" s="19"/>
      <c r="M6" s="154"/>
      <c r="N6" s="154"/>
      <c r="O6" s="20" t="s">
        <v>24</v>
      </c>
      <c r="P6" s="20" t="s">
        <v>25</v>
      </c>
      <c r="Q6" s="20"/>
      <c r="R6" s="20"/>
      <c r="S6" s="20"/>
      <c r="T6" s="20"/>
      <c r="U6" s="20"/>
      <c r="V6" s="25"/>
      <c r="W6" s="25"/>
      <c r="X6" s="20" t="s">
        <v>26</v>
      </c>
      <c r="Y6" s="20" t="s">
        <v>413</v>
      </c>
      <c r="Z6" s="20"/>
      <c r="AA6" s="20"/>
      <c r="AB6" s="20"/>
      <c r="AC6" s="14"/>
      <c r="AD6" s="15"/>
      <c r="AE6" s="25" t="s">
        <v>414</v>
      </c>
      <c r="AF6" s="14" t="s">
        <v>415</v>
      </c>
      <c r="AG6" s="14" t="s">
        <v>29</v>
      </c>
      <c r="AH6" s="155" t="s">
        <v>416</v>
      </c>
      <c r="AI6" s="15" t="s">
        <v>23</v>
      </c>
      <c r="AJ6" s="156"/>
      <c r="AK6" s="156"/>
      <c r="AL6" s="25" t="s">
        <v>417</v>
      </c>
      <c r="AM6" s="25"/>
      <c r="AN6" s="25"/>
      <c r="AO6" s="25"/>
      <c r="AP6" s="25"/>
      <c r="AQ6" s="25"/>
      <c r="AR6" s="14" t="s">
        <v>418</v>
      </c>
      <c r="AS6" s="14"/>
      <c r="AT6" s="14"/>
      <c r="AU6" s="25"/>
      <c r="AV6" s="14" t="s">
        <v>419</v>
      </c>
      <c r="AW6" s="14"/>
      <c r="AX6" s="25" t="s">
        <v>420</v>
      </c>
      <c r="AY6" s="149" t="s">
        <v>421</v>
      </c>
      <c r="AZ6" s="149" t="s">
        <v>422</v>
      </c>
      <c r="BA6" s="26" t="s">
        <v>23</v>
      </c>
      <c r="BB6" s="149" t="s">
        <v>423</v>
      </c>
      <c r="BC6" s="26" t="s">
        <v>23</v>
      </c>
      <c r="BD6" s="149" t="s">
        <v>424</v>
      </c>
      <c r="BE6" s="149"/>
      <c r="BF6" s="149" t="s">
        <v>425</v>
      </c>
      <c r="BG6" s="14"/>
      <c r="BH6" s="14"/>
      <c r="BI6" s="26"/>
      <c r="BJ6" s="151"/>
      <c r="BK6" s="26"/>
      <c r="BL6" s="152"/>
      <c r="BM6" s="154"/>
      <c r="BN6" s="26"/>
      <c r="BO6" s="15"/>
      <c r="BP6" s="153"/>
    </row>
    <row r="7" s="10" customFormat="1" ht="57" customHeight="1">
      <c r="A7" s="21"/>
      <c r="B7" s="21"/>
      <c r="C7" s="21"/>
      <c r="D7" s="21"/>
      <c r="E7" s="21"/>
      <c r="F7" s="21"/>
      <c r="G7" s="21"/>
      <c r="H7" s="22"/>
      <c r="I7" s="157"/>
      <c r="J7" s="157"/>
      <c r="K7" s="22"/>
      <c r="L7" s="22"/>
      <c r="M7" s="157"/>
      <c r="N7" s="157"/>
      <c r="O7" s="20"/>
      <c r="P7" s="20" t="s">
        <v>36</v>
      </c>
      <c r="Q7" s="20" t="s">
        <v>37</v>
      </c>
      <c r="R7" s="20" t="s">
        <v>38</v>
      </c>
      <c r="S7" s="20" t="s">
        <v>39</v>
      </c>
      <c r="T7" s="20" t="s">
        <v>40</v>
      </c>
      <c r="U7" s="20" t="s">
        <v>41</v>
      </c>
      <c r="V7" s="25"/>
      <c r="W7" s="25"/>
      <c r="X7" s="20"/>
      <c r="Y7" s="20" t="s">
        <v>36</v>
      </c>
      <c r="Z7" s="25" t="s">
        <v>426</v>
      </c>
      <c r="AA7" s="25" t="s">
        <v>427</v>
      </c>
      <c r="AB7" s="25" t="s">
        <v>428</v>
      </c>
      <c r="AC7" s="14"/>
      <c r="AD7" s="15"/>
      <c r="AE7" s="156"/>
      <c r="AF7" s="23"/>
      <c r="AG7" s="14"/>
      <c r="AH7" s="158"/>
      <c r="AI7" s="24"/>
      <c r="AJ7" s="25" t="s">
        <v>48</v>
      </c>
      <c r="AK7" s="15" t="s">
        <v>429</v>
      </c>
      <c r="AL7" s="25" t="s">
        <v>430</v>
      </c>
      <c r="AM7" s="25" t="s">
        <v>431</v>
      </c>
      <c r="AN7" s="25" t="s">
        <v>432</v>
      </c>
      <c r="AO7" s="26" t="s">
        <v>23</v>
      </c>
      <c r="AP7" s="24" t="s">
        <v>433</v>
      </c>
      <c r="AQ7" s="15" t="s">
        <v>434</v>
      </c>
      <c r="AR7" s="14" t="s">
        <v>435</v>
      </c>
      <c r="AS7" s="26" t="s">
        <v>23</v>
      </c>
      <c r="AT7" s="159" t="s">
        <v>436</v>
      </c>
      <c r="AU7" s="160" t="s">
        <v>23</v>
      </c>
      <c r="AV7" s="23" t="s">
        <v>437</v>
      </c>
      <c r="AW7" s="160" t="s">
        <v>23</v>
      </c>
      <c r="AX7" s="25"/>
      <c r="AY7" s="149"/>
      <c r="AZ7" s="149"/>
      <c r="BA7" s="26"/>
      <c r="BB7" s="149"/>
      <c r="BC7" s="26"/>
      <c r="BD7" s="149" t="s">
        <v>438</v>
      </c>
      <c r="BE7" s="26" t="s">
        <v>23</v>
      </c>
      <c r="BF7" s="149" t="s">
        <v>439</v>
      </c>
      <c r="BG7" s="26" t="s">
        <v>23</v>
      </c>
      <c r="BH7" s="14"/>
      <c r="BI7" s="26"/>
      <c r="BJ7" s="151"/>
      <c r="BK7" s="26"/>
      <c r="BL7" s="152"/>
      <c r="BM7" s="157"/>
      <c r="BN7" s="26"/>
      <c r="BO7" s="15"/>
      <c r="BP7" s="153"/>
    </row>
    <row r="8" s="10" customFormat="1" ht="24" customHeight="1">
      <c r="A8" s="20"/>
      <c r="B8" s="20"/>
      <c r="C8" s="20"/>
      <c r="D8" s="20"/>
      <c r="E8" s="20"/>
      <c r="F8" s="20"/>
      <c r="G8" s="20">
        <v>1</v>
      </c>
      <c r="H8" s="28">
        <v>2</v>
      </c>
      <c r="I8" s="20">
        <v>3</v>
      </c>
      <c r="J8" s="28">
        <v>4</v>
      </c>
      <c r="K8" s="20">
        <v>5</v>
      </c>
      <c r="L8" s="28">
        <v>6</v>
      </c>
      <c r="M8" s="20">
        <v>1</v>
      </c>
      <c r="N8" s="28"/>
      <c r="O8" s="28">
        <v>1</v>
      </c>
      <c r="P8" s="20">
        <v>3</v>
      </c>
      <c r="Q8" s="28">
        <v>4</v>
      </c>
      <c r="R8" s="20">
        <v>5</v>
      </c>
      <c r="S8" s="28">
        <v>6</v>
      </c>
      <c r="T8" s="20">
        <v>7</v>
      </c>
      <c r="U8" s="28">
        <v>8</v>
      </c>
      <c r="V8" s="29">
        <v>2</v>
      </c>
      <c r="W8" s="161"/>
      <c r="X8" s="28">
        <v>3</v>
      </c>
      <c r="Y8" s="20">
        <v>4</v>
      </c>
      <c r="Z8" s="161">
        <v>5</v>
      </c>
      <c r="AA8" s="29">
        <v>6</v>
      </c>
      <c r="AB8" s="161">
        <v>7</v>
      </c>
      <c r="AC8" s="161"/>
      <c r="AD8" s="28">
        <v>8</v>
      </c>
      <c r="AE8" s="29">
        <v>9</v>
      </c>
      <c r="AF8" s="28">
        <v>10</v>
      </c>
      <c r="AG8" s="28"/>
      <c r="AH8" s="28"/>
      <c r="AI8" s="20">
        <v>11</v>
      </c>
      <c r="AJ8" s="29">
        <v>29</v>
      </c>
      <c r="AK8" s="28">
        <v>30</v>
      </c>
      <c r="AL8" s="161">
        <v>12</v>
      </c>
      <c r="AM8" s="161"/>
      <c r="AN8" s="162"/>
      <c r="AO8" s="28"/>
      <c r="AP8" s="28">
        <v>36</v>
      </c>
      <c r="AQ8" s="28"/>
      <c r="AR8" s="20">
        <v>33</v>
      </c>
      <c r="AS8" s="20">
        <v>35</v>
      </c>
      <c r="AT8" s="163"/>
      <c r="AU8" s="161"/>
      <c r="AV8" s="28"/>
      <c r="AW8" s="28"/>
      <c r="AX8" s="28"/>
      <c r="AY8" s="162"/>
      <c r="AZ8" s="162"/>
      <c r="BA8" s="28"/>
      <c r="BB8" s="28"/>
      <c r="BC8" s="28"/>
      <c r="BD8" s="28">
        <v>14</v>
      </c>
      <c r="BE8" s="28">
        <v>15</v>
      </c>
      <c r="BF8" s="20">
        <v>16</v>
      </c>
      <c r="BG8" s="28">
        <v>17</v>
      </c>
      <c r="BH8" s="20">
        <v>22</v>
      </c>
      <c r="BI8" s="28">
        <v>42</v>
      </c>
      <c r="BJ8" s="164">
        <v>43</v>
      </c>
      <c r="BK8" s="161">
        <v>18</v>
      </c>
      <c r="BL8" s="20">
        <v>1</v>
      </c>
      <c r="BM8" s="20">
        <v>20</v>
      </c>
      <c r="BN8" s="29">
        <v>21</v>
      </c>
      <c r="BO8" s="20">
        <v>22</v>
      </c>
      <c r="BP8" s="165"/>
      <c r="BQ8" s="10"/>
      <c r="BR8" s="10"/>
    </row>
    <row r="9" s="30" customFormat="1" ht="17" customHeight="1">
      <c r="A9" s="31"/>
      <c r="B9" s="32" t="s">
        <v>55</v>
      </c>
      <c r="C9" s="33">
        <v>0</v>
      </c>
      <c r="D9" s="34"/>
      <c r="E9" s="34"/>
      <c r="F9" s="35"/>
      <c r="G9" s="166" t="e">
        <f>SUM(SUMIF($C:$C,"1",G:G))</f>
        <v>#REF!</v>
      </c>
      <c r="H9" s="37" t="e">
        <f>SUM(SUMIF($C:$C,"1",H:H))</f>
        <v>#REF!</v>
      </c>
      <c r="I9" s="37" t="e">
        <f>VLOOKUP(B9,#REF!,4,0)</f>
        <v>#REF!</v>
      </c>
      <c r="J9" s="37" t="e">
        <f>VLOOKUP(B9,#REF!,4,0)</f>
        <v>#REF!</v>
      </c>
      <c r="K9" s="37" t="e">
        <f t="shared" ref="K9:K17" si="482">I9*1485211/1408452</f>
        <v>#REF!</v>
      </c>
      <c r="L9" s="37" t="e">
        <f t="shared" ref="L9:L17" si="483">J9*1485211/1408452</f>
        <v>#REF!</v>
      </c>
      <c r="M9" s="37" t="e">
        <f>VLOOKUP(B9,#REF!,2,0)</f>
        <v>#REF!</v>
      </c>
      <c r="N9" s="37">
        <v>299423</v>
      </c>
      <c r="O9" s="37">
        <f t="shared" ref="O9:AD9" si="484">SUM(SUMIF($C:$C,"1",O:O))</f>
        <v>6652993</v>
      </c>
      <c r="P9" s="38">
        <f t="shared" si="484"/>
        <v>4779564.5999999996</v>
      </c>
      <c r="Q9" s="37">
        <f t="shared" si="484"/>
        <v>117751.60000000001</v>
      </c>
      <c r="R9" s="37">
        <f t="shared" si="484"/>
        <v>198328.79999999999</v>
      </c>
      <c r="S9" s="37">
        <f t="shared" si="484"/>
        <v>843038.40000000002</v>
      </c>
      <c r="T9" s="37">
        <f t="shared" si="484"/>
        <v>2171612.7999999998</v>
      </c>
      <c r="U9" s="37">
        <f t="shared" si="484"/>
        <v>1448833</v>
      </c>
      <c r="V9" s="37">
        <f t="shared" si="484"/>
        <v>896860</v>
      </c>
      <c r="W9" s="37">
        <f t="shared" si="484"/>
        <v>756341.40000000002</v>
      </c>
      <c r="X9" s="37">
        <f t="shared" si="484"/>
        <v>996117</v>
      </c>
      <c r="Y9" s="37">
        <f t="shared" si="484"/>
        <v>467734.20000000001</v>
      </c>
      <c r="Z9" s="37">
        <f t="shared" si="484"/>
        <v>58954</v>
      </c>
      <c r="AA9" s="37">
        <f t="shared" si="484"/>
        <v>324401</v>
      </c>
      <c r="AB9" s="37">
        <f t="shared" si="484"/>
        <v>70316</v>
      </c>
      <c r="AC9" s="37">
        <f t="shared" si="484"/>
        <v>147509</v>
      </c>
      <c r="AD9" s="39">
        <f t="shared" si="484"/>
        <v>472032</v>
      </c>
      <c r="AE9" s="37">
        <v>11378.84</v>
      </c>
      <c r="AF9" s="41">
        <f t="shared" ref="AF9:AL9" si="485">SUM(SUMIF($C:$C,"1",AF:AF))</f>
        <v>74.865674146605997</v>
      </c>
      <c r="AG9" s="41">
        <f t="shared" si="485"/>
        <v>519.04199821930501</v>
      </c>
      <c r="AH9" s="41">
        <f t="shared" si="485"/>
        <v>452.45458784593302</v>
      </c>
      <c r="AI9" s="39">
        <f t="shared" si="485"/>
        <v>134866.29999999999</v>
      </c>
      <c r="AJ9" s="37">
        <f t="shared" si="485"/>
        <v>4018579.6000000001</v>
      </c>
      <c r="AK9" s="37">
        <f t="shared" si="485"/>
        <v>2859</v>
      </c>
      <c r="AL9" s="37">
        <f t="shared" si="485"/>
        <v>710268.24523200002</v>
      </c>
      <c r="AM9" s="37">
        <v>4006</v>
      </c>
      <c r="AN9" s="41">
        <v>101</v>
      </c>
      <c r="AO9" s="37">
        <f>SUM(SUMIF($C:$C,"1",AO:AO))</f>
        <v>80000</v>
      </c>
      <c r="AP9" s="39">
        <f>SUM(SUMIF($C:$C,"1",AP:AP))</f>
        <v>30000</v>
      </c>
      <c r="AQ9" s="39">
        <f>SUM(SUMIF($C:$C,"1",AQ:AQ))</f>
        <v>20000</v>
      </c>
      <c r="AR9" s="37">
        <f>SUM(SUMIF($C:$C,"1",AR:AR))-AR22-AR23-AR24-AR25-AR26</f>
        <v>3650145</v>
      </c>
      <c r="AS9" s="37">
        <f t="shared" ref="AS9:AX9" si="486">SUM(SUMIF($C:$C,"1",AS:AS))</f>
        <v>50000</v>
      </c>
      <c r="AT9" s="37">
        <f t="shared" si="486"/>
        <v>68.860900000000001</v>
      </c>
      <c r="AU9" s="37">
        <f t="shared" si="486"/>
        <v>50000</v>
      </c>
      <c r="AV9" s="37">
        <f t="shared" si="486"/>
        <v>120</v>
      </c>
      <c r="AW9" s="37">
        <f t="shared" si="486"/>
        <v>120000</v>
      </c>
      <c r="AX9" s="37">
        <f t="shared" si="486"/>
        <v>276606.89604093297</v>
      </c>
      <c r="AY9" s="39">
        <v>9677.4400000000005</v>
      </c>
      <c r="AZ9" s="39"/>
      <c r="BA9" s="39">
        <f>SUM(SUMIF($C:$C,"1",BA:BA))</f>
        <v>37600</v>
      </c>
      <c r="BB9" s="39"/>
      <c r="BC9" s="39">
        <f>SUM(SUMIF($C:$C,"1",BC:BC))</f>
        <v>55000</v>
      </c>
      <c r="BD9" s="39">
        <f>SUM(SUMIF($C:$C,"1",BD:BD)-BD22-BD23-BD24-BD25-BD26)</f>
        <v>3372.3380224956099</v>
      </c>
      <c r="BE9" s="37">
        <f>SUM(SUMIF($C:$C,"1",BE:BE))</f>
        <v>42266</v>
      </c>
      <c r="BF9" s="41" t="e">
        <f>SUM(SUMIF($C:$C,"1",BF:BF))-BF22-BF23-BF24-BF25-BF26</f>
        <v>#N/A</v>
      </c>
      <c r="BG9" s="37" t="e">
        <f t="shared" ref="BG9:BM9" si="487">SUM(SUMIF($C:$C,"1",BG:BG))</f>
        <v>#N/A</v>
      </c>
      <c r="BH9" s="40" t="e">
        <f t="shared" si="487"/>
        <v>#REF!</v>
      </c>
      <c r="BI9" s="40" t="e">
        <f t="shared" si="487"/>
        <v>#REF!</v>
      </c>
      <c r="BJ9" s="167" t="e">
        <f t="shared" si="487"/>
        <v>#REF!</v>
      </c>
      <c r="BK9" s="37">
        <f t="shared" si="487"/>
        <v>1348663.1593923201</v>
      </c>
      <c r="BL9" s="37">
        <f t="shared" si="487"/>
        <v>1485211</v>
      </c>
      <c r="BM9" s="37">
        <f t="shared" si="487"/>
        <v>1348663</v>
      </c>
      <c r="BN9" s="37">
        <f>BK9-BM9</f>
        <v>0.15939232194796199</v>
      </c>
      <c r="BO9" s="43">
        <f>BN9/BM9</f>
        <v>1.18185433980143e-007</v>
      </c>
      <c r="BP9" s="168"/>
    </row>
    <row r="10" ht="17" customHeight="1">
      <c r="A10" s="44"/>
      <c r="B10" s="45" t="s">
        <v>56</v>
      </c>
      <c r="C10" s="46">
        <v>1</v>
      </c>
      <c r="D10" s="46"/>
      <c r="E10" s="46"/>
      <c r="F10" s="47"/>
      <c r="G10" s="48"/>
      <c r="H10" s="49"/>
      <c r="I10" s="49"/>
      <c r="J10" s="49"/>
      <c r="K10" s="49"/>
      <c r="L10" s="49"/>
      <c r="M10" s="59"/>
      <c r="N10" s="59"/>
      <c r="O10" s="49"/>
      <c r="P10" s="50"/>
      <c r="Q10" s="49"/>
      <c r="R10" s="49"/>
      <c r="S10" s="49"/>
      <c r="T10" s="49"/>
      <c r="U10" s="49"/>
      <c r="V10" s="59"/>
      <c r="W10" s="59"/>
      <c r="X10" s="49"/>
      <c r="Y10" s="49"/>
      <c r="Z10" s="49"/>
      <c r="AA10" s="49"/>
      <c r="AB10" s="49"/>
      <c r="AC10" s="49"/>
      <c r="AD10" s="48"/>
      <c r="AE10" s="49"/>
      <c r="AF10" s="52"/>
      <c r="AG10" s="52"/>
      <c r="AH10" s="52"/>
      <c r="AI10" s="48"/>
      <c r="AJ10" s="49"/>
      <c r="AK10" s="49"/>
      <c r="AL10" s="49"/>
      <c r="AM10" s="49"/>
      <c r="AN10" s="52"/>
      <c r="AO10" s="49"/>
      <c r="AP10" s="48"/>
      <c r="AQ10" s="48"/>
      <c r="AR10" s="49"/>
      <c r="AS10" s="49"/>
      <c r="AT10" s="169"/>
      <c r="AU10" s="49"/>
      <c r="AV10" s="49"/>
      <c r="AW10" s="49"/>
      <c r="AX10" s="49"/>
      <c r="AY10" s="52"/>
      <c r="AZ10" s="52"/>
      <c r="BA10" s="48"/>
      <c r="BB10" s="48"/>
      <c r="BC10" s="48"/>
      <c r="BD10" s="52"/>
      <c r="BE10" s="49"/>
      <c r="BF10" s="52"/>
      <c r="BG10" s="49"/>
      <c r="BH10" s="53"/>
      <c r="BI10" s="59"/>
      <c r="BJ10" s="167"/>
      <c r="BK10" s="170"/>
      <c r="BL10" s="59"/>
      <c r="BM10" s="59"/>
      <c r="BN10" s="59"/>
      <c r="BO10" s="43"/>
    </row>
    <row r="11" s="54" customFormat="1" ht="17" customHeight="1">
      <c r="A11" s="55"/>
      <c r="B11" s="56" t="s">
        <v>58</v>
      </c>
      <c r="C11" s="57">
        <v>0</v>
      </c>
      <c r="D11" s="57"/>
      <c r="E11" s="57"/>
      <c r="F11" s="58"/>
      <c r="G11" s="171"/>
      <c r="H11" s="172"/>
      <c r="I11" s="172"/>
      <c r="J11" s="172"/>
      <c r="K11" s="172"/>
      <c r="L11" s="172"/>
      <c r="M11" s="172"/>
      <c r="N11" s="172">
        <v>0</v>
      </c>
      <c r="O11" s="172"/>
      <c r="P11" s="173"/>
      <c r="Q11" s="172"/>
      <c r="R11" s="172"/>
      <c r="S11" s="172"/>
      <c r="T11" s="172"/>
      <c r="U11" s="172"/>
      <c r="V11" s="172"/>
      <c r="W11" s="172"/>
      <c r="X11" s="172"/>
      <c r="Y11" s="172"/>
      <c r="Z11" s="172"/>
      <c r="AA11" s="172"/>
      <c r="AB11" s="172"/>
      <c r="AC11" s="172"/>
      <c r="AD11" s="174"/>
      <c r="AE11" s="172"/>
      <c r="AF11" s="175"/>
      <c r="AG11" s="175"/>
      <c r="AH11" s="175"/>
      <c r="AI11" s="174"/>
      <c r="AJ11" s="174"/>
      <c r="AK11" s="174"/>
      <c r="AL11" s="174"/>
      <c r="AM11" s="174"/>
      <c r="AN11" s="175"/>
      <c r="AO11" s="172"/>
      <c r="AP11" s="174"/>
      <c r="AQ11" s="174">
        <v>20000</v>
      </c>
      <c r="AR11" s="172"/>
      <c r="AS11" s="172"/>
      <c r="AT11" s="176"/>
      <c r="AU11" s="172"/>
      <c r="AV11" s="172"/>
      <c r="AW11" s="172"/>
      <c r="AX11" s="172"/>
      <c r="AY11" s="174"/>
      <c r="AZ11" s="174"/>
      <c r="BA11" s="174"/>
      <c r="BB11" s="174"/>
      <c r="BC11" s="174"/>
      <c r="BD11" s="175"/>
      <c r="BE11" s="172"/>
      <c r="BF11" s="175"/>
      <c r="BG11" s="172"/>
      <c r="BH11" s="177"/>
      <c r="BI11" s="172"/>
      <c r="BJ11" s="178"/>
      <c r="BK11" s="179"/>
      <c r="BL11" s="172"/>
      <c r="BM11" s="172"/>
      <c r="BN11" s="172"/>
      <c r="BO11" s="180"/>
      <c r="BP11" s="181"/>
    </row>
    <row r="12" s="5" customFormat="1" ht="17" customHeight="1">
      <c r="A12" s="44"/>
      <c r="B12" s="45" t="s">
        <v>60</v>
      </c>
      <c r="C12" s="46"/>
      <c r="D12" s="46"/>
      <c r="E12" s="46"/>
      <c r="F12" s="47"/>
      <c r="G12" s="36" t="e">
        <f>SUM(SUMIF($C:$C,"贫困",G:G))+SUM(SUMIF($C:$C,"深度贫困",G:G))</f>
        <v>#REF!</v>
      </c>
      <c r="H12" s="59" t="e">
        <f>SUM(SUMIF($C:$C,"贫困",H:H))+SUM(SUMIF($C:$C,"深度贫困",H:H))</f>
        <v>#REF!</v>
      </c>
      <c r="I12" s="59" t="e">
        <f>SUM(SUMIF($C:$C,"贫困",I:I))+SUM(SUMIF($C:$C,"深度贫困",I:I))</f>
        <v>#REF!</v>
      </c>
      <c r="J12" s="59" t="e">
        <f>SUM(SUMIF($C:$C,"贫困",J:J))+SUM(SUMIF($C:$C,"深度贫困",J:J))</f>
        <v>#REF!</v>
      </c>
      <c r="K12" s="73" t="e">
        <f t="shared" si="482"/>
        <v>#REF!</v>
      </c>
      <c r="L12" s="73" t="e">
        <f t="shared" si="483"/>
        <v>#REF!</v>
      </c>
      <c r="M12" s="59">
        <f>SUM(SUMIF($C:$C,"贫困",M:M))+SUM(SUMIF($C:$C,"深度贫困",M:M))</f>
        <v>1390683</v>
      </c>
      <c r="N12" s="59">
        <v>276296</v>
      </c>
      <c r="O12" s="59">
        <f t="shared" ref="O12:AD12" si="488">SUM(SUMIF($C:$C,"贫困",O:O))+SUM(SUMIF($C:$C,"深度贫困",O:O))</f>
        <v>6064235</v>
      </c>
      <c r="P12" s="60">
        <f t="shared" si="488"/>
        <v>4661813</v>
      </c>
      <c r="Q12" s="59">
        <f t="shared" si="488"/>
        <v>0</v>
      </c>
      <c r="R12" s="59">
        <f t="shared" si="488"/>
        <v>198328.79999999999</v>
      </c>
      <c r="S12" s="59">
        <f t="shared" si="488"/>
        <v>843038.40000000002</v>
      </c>
      <c r="T12" s="59">
        <f t="shared" si="488"/>
        <v>2171612.7999999998</v>
      </c>
      <c r="U12" s="59">
        <f t="shared" si="488"/>
        <v>1448833</v>
      </c>
      <c r="V12" s="59">
        <f t="shared" si="488"/>
        <v>817512</v>
      </c>
      <c r="W12" s="59">
        <f t="shared" si="488"/>
        <v>740474</v>
      </c>
      <c r="X12" s="59">
        <f t="shared" si="488"/>
        <v>951493</v>
      </c>
      <c r="Y12" s="59">
        <f t="shared" si="488"/>
        <v>467734.20000000001</v>
      </c>
      <c r="Z12" s="59">
        <f t="shared" si="488"/>
        <v>58954</v>
      </c>
      <c r="AA12" s="59">
        <f t="shared" si="488"/>
        <v>324401</v>
      </c>
      <c r="AB12" s="59">
        <f t="shared" si="488"/>
        <v>70316</v>
      </c>
      <c r="AC12" s="59">
        <f t="shared" si="488"/>
        <v>133055</v>
      </c>
      <c r="AD12" s="59">
        <f t="shared" si="488"/>
        <v>443403.81760461698</v>
      </c>
      <c r="AE12" s="59"/>
      <c r="AF12" s="62">
        <f t="shared" ref="AF12:AP12" si="489">SUM(SUMIF($C:$C,"贫困",AF:AF))+SUM(SUMIF($C:$C,"深度贫困",AF:AF))</f>
        <v>55.172602315306399</v>
      </c>
      <c r="AG12" s="62">
        <f t="shared" si="489"/>
        <v>481.09334458255699</v>
      </c>
      <c r="AH12" s="62">
        <f t="shared" si="489"/>
        <v>444.86485711858302</v>
      </c>
      <c r="AI12" s="59">
        <f t="shared" si="489"/>
        <v>132603.97593767301</v>
      </c>
      <c r="AJ12" s="59">
        <f t="shared" si="489"/>
        <v>4018579.6000000001</v>
      </c>
      <c r="AK12" s="59">
        <f t="shared" si="489"/>
        <v>2859</v>
      </c>
      <c r="AL12" s="59">
        <f t="shared" si="489"/>
        <v>665330.51963200001</v>
      </c>
      <c r="AM12" s="59">
        <f t="shared" si="489"/>
        <v>3081</v>
      </c>
      <c r="AN12" s="59">
        <f t="shared" si="489"/>
        <v>73.850694001914206</v>
      </c>
      <c r="AO12" s="59">
        <f t="shared" si="489"/>
        <v>74938.5065823607</v>
      </c>
      <c r="AP12" s="59">
        <f t="shared" si="489"/>
        <v>30000</v>
      </c>
      <c r="AQ12" s="59"/>
      <c r="AR12" s="59">
        <f t="shared" ref="AR12:AX12" si="490">SUM(SUMIF($C:$C,"贫困",AR:AR))+SUM(SUMIF($C:$C,"深度贫困",AR:AR))</f>
        <v>3346580</v>
      </c>
      <c r="AS12" s="59">
        <f t="shared" si="490"/>
        <v>45841.740533595199</v>
      </c>
      <c r="AT12" s="59">
        <f t="shared" si="490"/>
        <v>61.867800000000003</v>
      </c>
      <c r="AU12" s="59">
        <f t="shared" si="490"/>
        <v>44922.299882807201</v>
      </c>
      <c r="AV12" s="59">
        <f t="shared" si="490"/>
        <v>100</v>
      </c>
      <c r="AW12" s="59">
        <f t="shared" si="490"/>
        <v>100000</v>
      </c>
      <c r="AX12" s="59">
        <f t="shared" si="490"/>
        <v>276606.89604093297</v>
      </c>
      <c r="AY12" s="59"/>
      <c r="AZ12" s="59"/>
      <c r="BA12" s="59">
        <f>SUM(SUMIF($C:$C,"贫困",BA:BA))+SUM(SUMIF($C:$C,"深度贫困",BA:BA))</f>
        <v>25100</v>
      </c>
      <c r="BB12" s="59"/>
      <c r="BC12" s="59">
        <f>SUM(SUMIF($C:$C,"贫困",BC:BC))+SUM(SUMIF($C:$C,"深度贫困",BC:BC))</f>
        <v>43800</v>
      </c>
      <c r="BD12" s="62"/>
      <c r="BE12" s="59">
        <f t="shared" ref="BE12:BN12" si="491">SUM(SUMIF($C:$C,"贫困",BE:BE))+SUM(SUMIF($C:$C,"深度贫困",BE:BE))</f>
        <v>29473.3539443441</v>
      </c>
      <c r="BF12" s="62" t="e">
        <f t="shared" si="491"/>
        <v>#N/A</v>
      </c>
      <c r="BG12" s="59" t="e">
        <f t="shared" si="491"/>
        <v>#N/A</v>
      </c>
      <c r="BH12" s="53" t="e">
        <f t="shared" si="491"/>
        <v>#REF!</v>
      </c>
      <c r="BI12" s="53" t="e">
        <f t="shared" si="491"/>
        <v>#REF!</v>
      </c>
      <c r="BJ12" s="182" t="e">
        <f t="shared" si="491"/>
        <v>#REF!</v>
      </c>
      <c r="BK12" s="59">
        <f t="shared" si="491"/>
        <v>1246990.5905263301</v>
      </c>
      <c r="BL12" s="59">
        <f t="shared" si="491"/>
        <v>1390683</v>
      </c>
      <c r="BM12" s="59">
        <f t="shared" si="491"/>
        <v>1262825.7579758</v>
      </c>
      <c r="BN12" s="59">
        <f t="shared" si="491"/>
        <v>-15835.167449472599</v>
      </c>
      <c r="BO12" s="43">
        <f t="shared" ref="BO12:BO75" si="492">BN12/BM12</f>
        <v>-1.2539471379531399e-002</v>
      </c>
      <c r="BP12" s="4"/>
    </row>
    <row r="13" ht="17" customHeight="1">
      <c r="A13" s="44"/>
      <c r="B13" s="45" t="s">
        <v>62</v>
      </c>
      <c r="C13" s="46"/>
      <c r="D13" s="46"/>
      <c r="E13" s="46"/>
      <c r="F13" s="47"/>
      <c r="G13" s="36" t="e">
        <f>SUM(SUMIF($C:$C,"非贫困县",G:G))</f>
        <v>#REF!</v>
      </c>
      <c r="H13" s="59" t="e">
        <f>SUM(SUMIF($C:$C,"非贫困县",H:H))</f>
        <v>#REF!</v>
      </c>
      <c r="I13" s="59" t="e">
        <f>SUM(SUMIF($C:$C,"非贫困县",I:I))</f>
        <v>#REF!</v>
      </c>
      <c r="J13" s="59" t="e">
        <f>SUM(SUMIF($C:$C,"非贫困县",J:J))</f>
        <v>#REF!</v>
      </c>
      <c r="K13" s="73" t="e">
        <f t="shared" si="482"/>
        <v>#REF!</v>
      </c>
      <c r="L13" s="73" t="e">
        <f t="shared" si="483"/>
        <v>#REF!</v>
      </c>
      <c r="M13" s="59">
        <f>SUM(SUMIF($C:$C,"非贫困县",M:M))</f>
        <v>94528</v>
      </c>
      <c r="N13" s="59">
        <v>23127</v>
      </c>
      <c r="O13" s="59">
        <f t="shared" ref="O13:AD13" si="493">SUM(SUMIF($C:$C,"非贫困县",O:O))</f>
        <v>588758</v>
      </c>
      <c r="P13" s="60">
        <f t="shared" si="493"/>
        <v>117751.60000000001</v>
      </c>
      <c r="Q13" s="59">
        <f t="shared" si="493"/>
        <v>117751.60000000001</v>
      </c>
      <c r="R13" s="59">
        <f t="shared" si="493"/>
        <v>0</v>
      </c>
      <c r="S13" s="59">
        <f t="shared" si="493"/>
        <v>0</v>
      </c>
      <c r="T13" s="59">
        <f t="shared" si="493"/>
        <v>0</v>
      </c>
      <c r="U13" s="59">
        <f t="shared" si="493"/>
        <v>0</v>
      </c>
      <c r="V13" s="59">
        <f t="shared" si="493"/>
        <v>79348</v>
      </c>
      <c r="W13" s="59">
        <f t="shared" si="493"/>
        <v>15867.4</v>
      </c>
      <c r="X13" s="59">
        <f t="shared" si="493"/>
        <v>44624</v>
      </c>
      <c r="Y13" s="59">
        <f t="shared" si="493"/>
        <v>0</v>
      </c>
      <c r="Z13" s="59">
        <f t="shared" si="493"/>
        <v>0</v>
      </c>
      <c r="AA13" s="59">
        <f t="shared" si="493"/>
        <v>0</v>
      </c>
      <c r="AB13" s="59">
        <f t="shared" si="493"/>
        <v>0</v>
      </c>
      <c r="AC13" s="59">
        <f t="shared" si="493"/>
        <v>14454</v>
      </c>
      <c r="AD13" s="59">
        <f t="shared" si="493"/>
        <v>28628.182395383501</v>
      </c>
      <c r="AE13" s="59"/>
      <c r="AF13" s="62">
        <f t="shared" ref="AF13:AP13" si="494">SUM(SUMIF($C:$C,"非贫困县",AF:AF))</f>
        <v>19.693071831299601</v>
      </c>
      <c r="AG13" s="62">
        <f t="shared" si="494"/>
        <v>37.948653636747999</v>
      </c>
      <c r="AH13" s="62">
        <f t="shared" si="494"/>
        <v>7.5897307273496004</v>
      </c>
      <c r="AI13" s="59">
        <f t="shared" si="494"/>
        <v>2262.3240623266702</v>
      </c>
      <c r="AJ13" s="59">
        <f t="shared" si="494"/>
        <v>0</v>
      </c>
      <c r="AK13" s="59">
        <f t="shared" si="494"/>
        <v>0</v>
      </c>
      <c r="AL13" s="59">
        <f t="shared" si="494"/>
        <v>44937.725599999998</v>
      </c>
      <c r="AM13" s="59">
        <f t="shared" si="494"/>
        <v>925</v>
      </c>
      <c r="AN13" s="59">
        <f t="shared" si="494"/>
        <v>27.393897563122501</v>
      </c>
      <c r="AO13" s="59">
        <f t="shared" si="494"/>
        <v>5061.4934176393199</v>
      </c>
      <c r="AP13" s="59">
        <f t="shared" si="494"/>
        <v>0</v>
      </c>
      <c r="AQ13" s="59"/>
      <c r="AR13" s="59">
        <f t="shared" ref="AR13:AX13" si="495">SUM(SUMIF($C:$C,"非贫困县",AR:AR))</f>
        <v>304815</v>
      </c>
      <c r="AS13" s="59">
        <f t="shared" si="495"/>
        <v>4158.2594664047601</v>
      </c>
      <c r="AT13" s="59">
        <f t="shared" si="495"/>
        <v>6.9931000000000001</v>
      </c>
      <c r="AU13" s="59">
        <f t="shared" si="495"/>
        <v>5077.7001171927805</v>
      </c>
      <c r="AV13" s="59">
        <f t="shared" si="495"/>
        <v>20</v>
      </c>
      <c r="AW13" s="59">
        <f t="shared" si="495"/>
        <v>20000</v>
      </c>
      <c r="AX13" s="59">
        <f t="shared" si="495"/>
        <v>0</v>
      </c>
      <c r="AY13" s="59"/>
      <c r="AZ13" s="59"/>
      <c r="BA13" s="59">
        <f>SUM(SUMIF($C:$C,"非贫困县",BA:BA))</f>
        <v>12500</v>
      </c>
      <c r="BB13" s="59"/>
      <c r="BC13" s="59">
        <f>SUM(SUMIF($C:$C,"非贫困县",BC:BC))</f>
        <v>11200</v>
      </c>
      <c r="BD13" s="62"/>
      <c r="BE13" s="59">
        <f t="shared" ref="BE13:BN13" si="496">SUM(SUMIF($C:$C,"非贫困县",BE:BE))</f>
        <v>12792.6460556559</v>
      </c>
      <c r="BF13" s="62" t="e">
        <f t="shared" si="496"/>
        <v>#N/A</v>
      </c>
      <c r="BG13" s="59" t="e">
        <f t="shared" si="496"/>
        <v>#N/A</v>
      </c>
      <c r="BH13" s="53" t="e">
        <f t="shared" si="496"/>
        <v>#REF!</v>
      </c>
      <c r="BI13" s="53" t="e">
        <f t="shared" si="496"/>
        <v>#REF!</v>
      </c>
      <c r="BJ13" s="182" t="e">
        <f t="shared" si="496"/>
        <v>#REF!</v>
      </c>
      <c r="BK13" s="59">
        <f t="shared" si="496"/>
        <v>101672.568865992</v>
      </c>
      <c r="BL13" s="59">
        <f t="shared" si="496"/>
        <v>94528</v>
      </c>
      <c r="BM13" s="59">
        <f t="shared" si="496"/>
        <v>85837.242024197199</v>
      </c>
      <c r="BN13" s="59">
        <f t="shared" si="496"/>
        <v>15835.3268417944</v>
      </c>
      <c r="BO13" s="43">
        <f t="shared" si="492"/>
        <v>0.18448084384317101</v>
      </c>
    </row>
    <row r="14" s="5" customFormat="1" ht="17" customHeight="1">
      <c r="A14" s="44"/>
      <c r="B14" s="45" t="s">
        <v>64</v>
      </c>
      <c r="C14" s="46"/>
      <c r="D14" s="46"/>
      <c r="E14" s="46"/>
      <c r="F14" s="47"/>
      <c r="G14" s="36" t="e">
        <f>SUM(SUMIF($E:$E,"国家",G:G))+SUM(SUMIF($E:$E,"省级",G:G))</f>
        <v>#REF!</v>
      </c>
      <c r="H14" s="59" t="e">
        <f>SUM(SUMIF($E:$E,"国家",H:H))+SUM(SUMIF($E:$E,"省级",H:H))</f>
        <v>#REF!</v>
      </c>
      <c r="I14" s="59" t="e">
        <f>SUM(SUMIF($E:$E,"国家",I:I))+SUM(SUMIF($E:$E,"省级",I:I))</f>
        <v>#REF!</v>
      </c>
      <c r="J14" s="59" t="e">
        <f>SUM(SUMIF($E:$E,"国家",J:J))+SUM(SUMIF($E:$E,"省级",J:J))</f>
        <v>#REF!</v>
      </c>
      <c r="K14" s="73" t="e">
        <f t="shared" si="482"/>
        <v>#REF!</v>
      </c>
      <c r="L14" s="73" t="e">
        <f t="shared" si="483"/>
        <v>#REF!</v>
      </c>
      <c r="M14" s="59">
        <f>SUM(SUMIF($E:$E,"国家",M:M))+SUM(SUMIF($E:$E,"省级",M:M))</f>
        <v>1230687</v>
      </c>
      <c r="N14" s="59">
        <v>238197</v>
      </c>
      <c r="O14" s="59">
        <f t="shared" ref="O14:AP14" si="497">SUM(SUMIF($E:$E,"国家",O:O))+SUM(SUMIF($E:$E,"省级",O:O))</f>
        <v>4934288</v>
      </c>
      <c r="P14" s="60">
        <f t="shared" si="497"/>
        <v>4018579.6000000001</v>
      </c>
      <c r="Q14" s="59">
        <f t="shared" si="497"/>
        <v>0</v>
      </c>
      <c r="R14" s="59">
        <f t="shared" si="497"/>
        <v>71812.399999999994</v>
      </c>
      <c r="S14" s="59">
        <f t="shared" si="497"/>
        <v>440415</v>
      </c>
      <c r="T14" s="59">
        <f t="shared" si="497"/>
        <v>2057519.2</v>
      </c>
      <c r="U14" s="59">
        <f t="shared" si="497"/>
        <v>1448833</v>
      </c>
      <c r="V14" s="59">
        <f t="shared" si="497"/>
        <v>663436</v>
      </c>
      <c r="W14" s="59">
        <f t="shared" si="497"/>
        <v>663436</v>
      </c>
      <c r="X14" s="59">
        <f t="shared" si="497"/>
        <v>802791</v>
      </c>
      <c r="Y14" s="59">
        <f t="shared" si="497"/>
        <v>467734.20000000001</v>
      </c>
      <c r="Z14" s="59">
        <f t="shared" si="497"/>
        <v>58954</v>
      </c>
      <c r="AA14" s="59">
        <f t="shared" si="497"/>
        <v>324401</v>
      </c>
      <c r="AB14" s="59">
        <f t="shared" si="497"/>
        <v>70316</v>
      </c>
      <c r="AC14" s="59">
        <f t="shared" si="497"/>
        <v>111618</v>
      </c>
      <c r="AD14" s="59">
        <f t="shared" si="497"/>
        <v>375313.07386444497</v>
      </c>
      <c r="AE14" s="59">
        <f t="shared" si="497"/>
        <v>656730.09999999998</v>
      </c>
      <c r="AF14" s="62">
        <f t="shared" si="497"/>
        <v>38.051624813216698</v>
      </c>
      <c r="AG14" s="62">
        <f t="shared" si="497"/>
        <v>408.63636965460802</v>
      </c>
      <c r="AH14" s="62">
        <f t="shared" si="497"/>
        <v>408.63636965460802</v>
      </c>
      <c r="AI14" s="59">
        <f t="shared" si="497"/>
        <v>121805.097574821</v>
      </c>
      <c r="AJ14" s="59">
        <f t="shared" si="497"/>
        <v>4018579.6000000001</v>
      </c>
      <c r="AK14" s="59">
        <f t="shared" si="497"/>
        <v>2859</v>
      </c>
      <c r="AL14" s="59">
        <f t="shared" si="497"/>
        <v>561065.64343199995</v>
      </c>
      <c r="AM14" s="59">
        <f t="shared" si="497"/>
        <v>2102</v>
      </c>
      <c r="AN14" s="59">
        <f t="shared" si="497"/>
        <v>47.393033837488296</v>
      </c>
      <c r="AO14" s="59">
        <f t="shared" si="497"/>
        <v>63194.788413916503</v>
      </c>
      <c r="AP14" s="59">
        <f t="shared" si="497"/>
        <v>30000</v>
      </c>
      <c r="AQ14" s="59"/>
      <c r="AR14" s="59">
        <f t="shared" ref="AR14:AX14" si="498">SUM(SUMIF($E:$E,"国家",AR:AR))+SUM(SUMIF($E:$E,"省级",AR:AR))</f>
        <v>2786991</v>
      </c>
      <c r="AS14" s="59">
        <f t="shared" si="498"/>
        <v>38176.442305716599</v>
      </c>
      <c r="AT14" s="59">
        <f t="shared" si="498"/>
        <v>50.033999999999999</v>
      </c>
      <c r="AU14" s="59">
        <f t="shared" si="498"/>
        <v>36329.760430084403</v>
      </c>
      <c r="AV14" s="59">
        <f t="shared" si="498"/>
        <v>78</v>
      </c>
      <c r="AW14" s="59">
        <f t="shared" si="498"/>
        <v>78000</v>
      </c>
      <c r="AX14" s="59">
        <f t="shared" si="498"/>
        <v>276606.89604093297</v>
      </c>
      <c r="AY14" s="59"/>
      <c r="AZ14" s="59"/>
      <c r="BA14" s="59">
        <f>SUM(SUMIF($E:$E,"国家",BA:BA))+SUM(SUMIF($E:$E,"省级",BA:BA))</f>
        <v>19600</v>
      </c>
      <c r="BB14" s="59"/>
      <c r="BC14" s="59">
        <f>SUM(SUMIF($E:$E,"国家",BC:BC))+SUM(SUMIF($E:$E,"省级",BC:BC))</f>
        <v>27000</v>
      </c>
      <c r="BD14" s="62"/>
      <c r="BE14" s="59">
        <f t="shared" ref="BE14:BN14" si="499">SUM(SUMIF($E:$E,"国家",BE:BE))+SUM(SUMIF($E:$E,"省级",BE:BE))</f>
        <v>19230.508516334801</v>
      </c>
      <c r="BF14" s="62" t="e">
        <f t="shared" si="499"/>
        <v>#N/A</v>
      </c>
      <c r="BG14" s="59" t="e">
        <f t="shared" si="499"/>
        <v>#N/A</v>
      </c>
      <c r="BH14" s="53" t="e">
        <f t="shared" si="499"/>
        <v>#REF!</v>
      </c>
      <c r="BI14" s="53" t="e">
        <f t="shared" si="499"/>
        <v>#REF!</v>
      </c>
      <c r="BJ14" s="182" t="e">
        <f t="shared" si="499"/>
        <v>#REF!</v>
      </c>
      <c r="BK14" s="59">
        <f t="shared" si="499"/>
        <v>1085556.56714625</v>
      </c>
      <c r="BL14" s="59">
        <f t="shared" si="499"/>
        <v>1230687</v>
      </c>
      <c r="BM14" s="59">
        <f t="shared" si="499"/>
        <v>1117539.5425168499</v>
      </c>
      <c r="BN14" s="59">
        <f t="shared" si="499"/>
        <v>-31982.975370603101</v>
      </c>
      <c r="BO14" s="43">
        <f t="shared" si="492"/>
        <v>-2.8619099507273801e-002</v>
      </c>
      <c r="BP14" s="4"/>
    </row>
    <row r="15" s="5" customFormat="1" ht="17" customHeight="1">
      <c r="A15" s="44"/>
      <c r="B15" s="45" t="s">
        <v>66</v>
      </c>
      <c r="C15" s="46"/>
      <c r="D15" s="46"/>
      <c r="E15" s="46"/>
      <c r="F15" s="47"/>
      <c r="G15" s="36" t="e">
        <f>SUM(SUMIF($E:$E,"国家",G:G))</f>
        <v>#REF!</v>
      </c>
      <c r="H15" s="59" t="e">
        <f>SUM(SUMIF($E:$E,"国家",H:H))</f>
        <v>#REF!</v>
      </c>
      <c r="I15" s="59" t="e">
        <f>SUM(SUMIF($E:$E,"国家",I:I))</f>
        <v>#REF!</v>
      </c>
      <c r="J15" s="59" t="e">
        <f>SUM(SUMIF($E:$E,"国家",J:J))</f>
        <v>#REF!</v>
      </c>
      <c r="K15" s="73" t="e">
        <f t="shared" si="482"/>
        <v>#REF!</v>
      </c>
      <c r="L15" s="73" t="e">
        <f t="shared" si="483"/>
        <v>#REF!</v>
      </c>
      <c r="M15" s="59">
        <f>SUM(SUMIF($E:$E,"国家",M:M))</f>
        <v>896099</v>
      </c>
      <c r="N15" s="59">
        <v>173235</v>
      </c>
      <c r="O15" s="59">
        <f t="shared" ref="O15:AP15" si="500">SUM(SUMIF($E:$E,"国家",O:O))</f>
        <v>3329899</v>
      </c>
      <c r="P15" s="60">
        <f t="shared" si="500"/>
        <v>2915188.6000000001</v>
      </c>
      <c r="Q15" s="59">
        <f t="shared" si="500"/>
        <v>0</v>
      </c>
      <c r="R15" s="59">
        <f t="shared" si="500"/>
        <v>0</v>
      </c>
      <c r="S15" s="59">
        <f t="shared" si="500"/>
        <v>73326.600000000006</v>
      </c>
      <c r="T15" s="59">
        <f t="shared" si="500"/>
        <v>1463304</v>
      </c>
      <c r="U15" s="59">
        <f t="shared" si="500"/>
        <v>1378558</v>
      </c>
      <c r="V15" s="59">
        <f t="shared" si="500"/>
        <v>470414</v>
      </c>
      <c r="W15" s="59">
        <f t="shared" si="500"/>
        <v>470414</v>
      </c>
      <c r="X15" s="59">
        <f t="shared" si="500"/>
        <v>648468</v>
      </c>
      <c r="Y15" s="59">
        <f t="shared" si="500"/>
        <v>455089.20000000001</v>
      </c>
      <c r="Z15" s="59">
        <f t="shared" si="500"/>
        <v>46309</v>
      </c>
      <c r="AA15" s="59">
        <f t="shared" si="500"/>
        <v>324401</v>
      </c>
      <c r="AB15" s="59">
        <f t="shared" si="500"/>
        <v>70316</v>
      </c>
      <c r="AC15" s="59">
        <f t="shared" si="500"/>
        <v>74875</v>
      </c>
      <c r="AD15" s="59">
        <f t="shared" si="500"/>
        <v>267932.13711458602</v>
      </c>
      <c r="AE15" s="59">
        <f t="shared" si="500"/>
        <v>307678.10999999999</v>
      </c>
      <c r="AF15" s="62">
        <f t="shared" si="500"/>
        <v>18.573841943385698</v>
      </c>
      <c r="AG15" s="62">
        <f t="shared" si="500"/>
        <v>292.65762534056699</v>
      </c>
      <c r="AH15" s="62">
        <f t="shared" si="500"/>
        <v>292.65762534056699</v>
      </c>
      <c r="AI15" s="59">
        <f t="shared" si="500"/>
        <v>87234.502990405104</v>
      </c>
      <c r="AJ15" s="59">
        <f t="shared" si="500"/>
        <v>2915188.6000000001</v>
      </c>
      <c r="AK15" s="59">
        <f t="shared" si="500"/>
        <v>2073.9975406733301</v>
      </c>
      <c r="AL15" s="59">
        <f t="shared" si="500"/>
        <v>365641.13199999998</v>
      </c>
      <c r="AM15" s="59">
        <f t="shared" si="500"/>
        <v>1270</v>
      </c>
      <c r="AN15" s="59">
        <f t="shared" si="500"/>
        <v>23.2013302853208</v>
      </c>
      <c r="AO15" s="59">
        <f t="shared" si="500"/>
        <v>41183.441265131398</v>
      </c>
      <c r="AP15" s="59">
        <f t="shared" si="500"/>
        <v>18000</v>
      </c>
      <c r="AQ15" s="59"/>
      <c r="AR15" s="59">
        <f t="shared" ref="AR15:AX15" si="501">SUM(SUMIF($E:$E,"国家",AR:AR))</f>
        <v>1964419</v>
      </c>
      <c r="AS15" s="59">
        <f t="shared" si="501"/>
        <v>26908.7803361236</v>
      </c>
      <c r="AT15" s="59">
        <f t="shared" si="501"/>
        <v>34.253999999999998</v>
      </c>
      <c r="AU15" s="59">
        <f t="shared" si="501"/>
        <v>24871.879397452001</v>
      </c>
      <c r="AV15" s="59">
        <f t="shared" si="501"/>
        <v>36</v>
      </c>
      <c r="AW15" s="59">
        <f t="shared" si="501"/>
        <v>36000</v>
      </c>
      <c r="AX15" s="59">
        <f t="shared" si="501"/>
        <v>276606.89604093297</v>
      </c>
      <c r="AY15" s="59"/>
      <c r="AZ15" s="59"/>
      <c r="BA15" s="59">
        <f>SUM(SUMIF($E:$E,"国家",BA:BA))</f>
        <v>10000</v>
      </c>
      <c r="BB15" s="59"/>
      <c r="BC15" s="59">
        <f>SUM(SUMIF($E:$E,"国家",BC:BC))</f>
        <v>16000</v>
      </c>
      <c r="BD15" s="62"/>
      <c r="BE15" s="59">
        <f t="shared" ref="BE15:BN15" si="502">SUM(SUMIF($E:$E,"国家",BE:BE))</f>
        <v>9156.9962723402805</v>
      </c>
      <c r="BF15" s="62" t="e">
        <f t="shared" si="502"/>
        <v>#N/A</v>
      </c>
      <c r="BG15" s="59" t="e">
        <f t="shared" si="502"/>
        <v>#N/A</v>
      </c>
      <c r="BH15" s="53" t="e">
        <f t="shared" si="502"/>
        <v>#REF!</v>
      </c>
      <c r="BI15" s="53" t="e">
        <f t="shared" si="502"/>
        <v>#REF!</v>
      </c>
      <c r="BJ15" s="182" t="e">
        <f t="shared" si="502"/>
        <v>#REF!</v>
      </c>
      <c r="BK15" s="59">
        <f t="shared" si="502"/>
        <v>813894.63341697096</v>
      </c>
      <c r="BL15" s="59">
        <f t="shared" si="502"/>
        <v>896099</v>
      </c>
      <c r="BM15" s="59">
        <f t="shared" si="502"/>
        <v>813713.04524205602</v>
      </c>
      <c r="BN15" s="59">
        <f t="shared" si="502"/>
        <v>181.588174914777</v>
      </c>
      <c r="BO15" s="43">
        <f t="shared" si="492"/>
        <v>2.23159965268543e-004</v>
      </c>
      <c r="BP15" s="4"/>
    </row>
    <row r="16" s="5" customFormat="1" ht="17" customHeight="1">
      <c r="A16" s="44"/>
      <c r="B16" s="45" t="s">
        <v>68</v>
      </c>
      <c r="C16" s="46"/>
      <c r="D16" s="46"/>
      <c r="E16" s="46"/>
      <c r="F16" s="47"/>
      <c r="G16" s="36" t="e">
        <f>SUM(SUMIF($E:$E,"省级",G:G))</f>
        <v>#REF!</v>
      </c>
      <c r="H16" s="59" t="e">
        <f>SUM(SUMIF($E:$E,"省级",H:H))</f>
        <v>#REF!</v>
      </c>
      <c r="I16" s="59" t="e">
        <f>SUM(SUMIF($E:$E,"省级",I:I))</f>
        <v>#REF!</v>
      </c>
      <c r="J16" s="59" t="e">
        <f>SUM(SUMIF($E:$E,"省级",J:J))</f>
        <v>#REF!</v>
      </c>
      <c r="K16" s="73" t="e">
        <f t="shared" si="482"/>
        <v>#REF!</v>
      </c>
      <c r="L16" s="73" t="e">
        <f t="shared" si="483"/>
        <v>#REF!</v>
      </c>
      <c r="M16" s="59">
        <f>SUM(SUMIF($E:$E,"省级",M:M))</f>
        <v>334588</v>
      </c>
      <c r="N16" s="59">
        <v>64962</v>
      </c>
      <c r="O16" s="59">
        <f t="shared" ref="O16:AP16" si="503">SUM(SUMIF($E:$E,"省级",O:O))</f>
        <v>1604389</v>
      </c>
      <c r="P16" s="60">
        <f t="shared" si="503"/>
        <v>1103391</v>
      </c>
      <c r="Q16" s="59">
        <f t="shared" si="503"/>
        <v>0</v>
      </c>
      <c r="R16" s="59">
        <f t="shared" si="503"/>
        <v>71812.399999999994</v>
      </c>
      <c r="S16" s="59">
        <f t="shared" si="503"/>
        <v>367088.40000000002</v>
      </c>
      <c r="T16" s="59">
        <f t="shared" si="503"/>
        <v>594215.19999999995</v>
      </c>
      <c r="U16" s="59">
        <f t="shared" si="503"/>
        <v>70275</v>
      </c>
      <c r="V16" s="59">
        <f t="shared" si="503"/>
        <v>193022</v>
      </c>
      <c r="W16" s="59">
        <f t="shared" si="503"/>
        <v>193022</v>
      </c>
      <c r="X16" s="59">
        <f t="shared" si="503"/>
        <v>154323</v>
      </c>
      <c r="Y16" s="59">
        <f t="shared" si="503"/>
        <v>12645</v>
      </c>
      <c r="Z16" s="59">
        <f t="shared" si="503"/>
        <v>12645</v>
      </c>
      <c r="AA16" s="59">
        <f t="shared" si="503"/>
        <v>0</v>
      </c>
      <c r="AB16" s="59">
        <f t="shared" si="503"/>
        <v>0</v>
      </c>
      <c r="AC16" s="59">
        <f t="shared" si="503"/>
        <v>36743</v>
      </c>
      <c r="AD16" s="59">
        <f t="shared" si="503"/>
        <v>107380.936749859</v>
      </c>
      <c r="AE16" s="59">
        <f t="shared" si="503"/>
        <v>349051.98999999999</v>
      </c>
      <c r="AF16" s="62">
        <f t="shared" si="503"/>
        <v>19.477782869831</v>
      </c>
      <c r="AG16" s="62">
        <f t="shared" si="503"/>
        <v>115.97874431404099</v>
      </c>
      <c r="AH16" s="62">
        <f t="shared" si="503"/>
        <v>115.97874431404099</v>
      </c>
      <c r="AI16" s="59">
        <f t="shared" si="503"/>
        <v>34570.594584416001</v>
      </c>
      <c r="AJ16" s="59">
        <f t="shared" si="503"/>
        <v>1103391</v>
      </c>
      <c r="AK16" s="59">
        <f t="shared" si="503"/>
        <v>785.00245932667303</v>
      </c>
      <c r="AL16" s="59">
        <f t="shared" si="503"/>
        <v>195424.511432</v>
      </c>
      <c r="AM16" s="59">
        <f t="shared" si="503"/>
        <v>832</v>
      </c>
      <c r="AN16" s="59">
        <f t="shared" si="503"/>
        <v>24.191703552167599</v>
      </c>
      <c r="AO16" s="59">
        <f t="shared" si="503"/>
        <v>22011.347148785098</v>
      </c>
      <c r="AP16" s="59">
        <f t="shared" si="503"/>
        <v>12000</v>
      </c>
      <c r="AQ16" s="59"/>
      <c r="AR16" s="59">
        <f t="shared" ref="AR16:AX16" si="504">SUM(SUMIF($E:$E,"省级",AR:AR))</f>
        <v>822572</v>
      </c>
      <c r="AS16" s="59">
        <f t="shared" si="504"/>
        <v>11267.661969593</v>
      </c>
      <c r="AT16" s="59">
        <f t="shared" si="504"/>
        <v>15.779999999999999</v>
      </c>
      <c r="AU16" s="59">
        <f t="shared" si="504"/>
        <v>11457.8810326325</v>
      </c>
      <c r="AV16" s="59">
        <f t="shared" si="504"/>
        <v>42</v>
      </c>
      <c r="AW16" s="59">
        <f t="shared" si="504"/>
        <v>42000</v>
      </c>
      <c r="AX16" s="59">
        <f t="shared" si="504"/>
        <v>0</v>
      </c>
      <c r="AY16" s="59"/>
      <c r="AZ16" s="59"/>
      <c r="BA16" s="59">
        <f>SUM(SUMIF($E:$E,"省级",BA:BA))</f>
        <v>9600</v>
      </c>
      <c r="BB16" s="59"/>
      <c r="BC16" s="59">
        <f>SUM(SUMIF($E:$E,"省级",BC:BC))</f>
        <v>11000</v>
      </c>
      <c r="BD16" s="62"/>
      <c r="BE16" s="59">
        <f t="shared" ref="BE16:BN16" si="505">SUM(SUMIF($E:$E,"省级",BE:BE))</f>
        <v>10073.512243994501</v>
      </c>
      <c r="BF16" s="62" t="e">
        <f t="shared" si="505"/>
        <v>#N/A</v>
      </c>
      <c r="BG16" s="59" t="e">
        <f t="shared" si="505"/>
        <v>#N/A</v>
      </c>
      <c r="BH16" s="53" t="e">
        <f t="shared" si="505"/>
        <v>#REF!</v>
      </c>
      <c r="BI16" s="53" t="e">
        <f t="shared" si="505"/>
        <v>#REF!</v>
      </c>
      <c r="BJ16" s="182" t="e">
        <f t="shared" si="505"/>
        <v>#REF!</v>
      </c>
      <c r="BK16" s="59">
        <f t="shared" si="505"/>
        <v>271661.93372928002</v>
      </c>
      <c r="BL16" s="59">
        <f t="shared" si="505"/>
        <v>334588</v>
      </c>
      <c r="BM16" s="59">
        <f t="shared" si="505"/>
        <v>303826.49727479799</v>
      </c>
      <c r="BN16" s="59">
        <f t="shared" si="505"/>
        <v>-32164.563545517802</v>
      </c>
      <c r="BO16" s="43">
        <f t="shared" si="492"/>
        <v>-0.105864905905249</v>
      </c>
      <c r="BP16" s="4"/>
    </row>
    <row r="17" s="5" customFormat="1" ht="17" customHeight="1">
      <c r="A17" s="44"/>
      <c r="B17" s="45" t="s">
        <v>70</v>
      </c>
      <c r="C17" s="46"/>
      <c r="D17" s="46"/>
      <c r="E17" s="46"/>
      <c r="F17" s="47"/>
      <c r="G17" s="36" t="e">
        <f t="shared" ref="G17:J17" si="506">SUM(SUMIF($F:$F,"是",G:G))</f>
        <v>#REF!</v>
      </c>
      <c r="H17" s="59" t="e">
        <f t="shared" si="506"/>
        <v>#REF!</v>
      </c>
      <c r="I17" s="59" t="e">
        <f t="shared" si="506"/>
        <v>#REF!</v>
      </c>
      <c r="J17" s="59" t="e">
        <f t="shared" si="506"/>
        <v>#REF!</v>
      </c>
      <c r="K17" s="73" t="e">
        <f t="shared" si="482"/>
        <v>#REF!</v>
      </c>
      <c r="L17" s="73" t="e">
        <f t="shared" si="483"/>
        <v>#REF!</v>
      </c>
      <c r="M17" s="59">
        <f t="shared" ref="M17:AP17" si="507">SUM(SUMIF($F:$F,"是",M:M))</f>
        <v>384502</v>
      </c>
      <c r="N17" s="59">
        <v>88119</v>
      </c>
      <c r="O17" s="59">
        <f t="shared" si="507"/>
        <v>1248591</v>
      </c>
      <c r="P17" s="60">
        <f t="shared" si="507"/>
        <v>928865.59999999998</v>
      </c>
      <c r="Q17" s="59">
        <f t="shared" si="507"/>
        <v>17309.599999999999</v>
      </c>
      <c r="R17" s="59">
        <f t="shared" si="507"/>
        <v>19292.799999999999</v>
      </c>
      <c r="S17" s="59">
        <f t="shared" si="507"/>
        <v>189571.79999999999</v>
      </c>
      <c r="T17" s="59">
        <f t="shared" si="507"/>
        <v>380666.40000000002</v>
      </c>
      <c r="U17" s="59">
        <f t="shared" si="507"/>
        <v>322025</v>
      </c>
      <c r="V17" s="59">
        <f t="shared" si="507"/>
        <v>179433</v>
      </c>
      <c r="W17" s="59">
        <f t="shared" si="507"/>
        <v>149745.20000000001</v>
      </c>
      <c r="X17" s="59">
        <f t="shared" si="507"/>
        <v>162681</v>
      </c>
      <c r="Y17" s="59">
        <f t="shared" si="507"/>
        <v>41696.199999999997</v>
      </c>
      <c r="Z17" s="59">
        <f t="shared" si="507"/>
        <v>14281</v>
      </c>
      <c r="AA17" s="59">
        <f t="shared" si="507"/>
        <v>23346</v>
      </c>
      <c r="AB17" s="59">
        <f t="shared" si="507"/>
        <v>3391</v>
      </c>
      <c r="AC17" s="59">
        <f t="shared" si="507"/>
        <v>21435</v>
      </c>
      <c r="AD17" s="59">
        <f t="shared" si="507"/>
        <v>86065.940650398203</v>
      </c>
      <c r="AE17" s="59">
        <f t="shared" si="507"/>
        <v>307110.97999999998</v>
      </c>
      <c r="AF17" s="62">
        <f t="shared" si="507"/>
        <v>13.6117876011373</v>
      </c>
      <c r="AG17" s="62">
        <f t="shared" si="507"/>
        <v>81.450511369335601</v>
      </c>
      <c r="AH17" s="62">
        <f t="shared" si="507"/>
        <v>72.318470708534093</v>
      </c>
      <c r="AI17" s="59">
        <f t="shared" si="507"/>
        <v>21556.471805386002</v>
      </c>
      <c r="AJ17" s="59">
        <f t="shared" si="507"/>
        <v>801618.80000000005</v>
      </c>
      <c r="AK17" s="59">
        <f t="shared" si="507"/>
        <v>570.30801360759403</v>
      </c>
      <c r="AL17" s="59">
        <f t="shared" si="507"/>
        <v>136483.88039999999</v>
      </c>
      <c r="AM17" s="59">
        <f t="shared" si="507"/>
        <v>482</v>
      </c>
      <c r="AN17" s="59">
        <f t="shared" si="507"/>
        <v>19.739867944950799</v>
      </c>
      <c r="AO17" s="59">
        <f t="shared" si="507"/>
        <v>15372.6574506137</v>
      </c>
      <c r="AP17" s="59">
        <f t="shared" si="507"/>
        <v>6000</v>
      </c>
      <c r="AQ17" s="59"/>
      <c r="AR17" s="59">
        <f t="shared" ref="AR17:AX17" si="508">SUM(SUMIF($F:$F,"是",AR:AR))</f>
        <v>628368</v>
      </c>
      <c r="AS17" s="59">
        <f t="shared" si="508"/>
        <v>8607.4388825649403</v>
      </c>
      <c r="AT17" s="59">
        <f t="shared" si="508"/>
        <v>12.7849</v>
      </c>
      <c r="AU17" s="59">
        <f t="shared" si="508"/>
        <v>9283.1345509570692</v>
      </c>
      <c r="AV17" s="59">
        <f t="shared" si="508"/>
        <v>0</v>
      </c>
      <c r="AW17" s="59">
        <f t="shared" si="508"/>
        <v>0</v>
      </c>
      <c r="AX17" s="59">
        <f t="shared" si="508"/>
        <v>87770.178384712795</v>
      </c>
      <c r="AY17" s="59"/>
      <c r="AZ17" s="59"/>
      <c r="BA17" s="59">
        <f t="shared" ref="BA17:BN17" si="509">SUM(SUMIF($F:$F,"是",BA:BA))</f>
        <v>7300</v>
      </c>
      <c r="BB17" s="59"/>
      <c r="BC17" s="59">
        <f t="shared" si="509"/>
        <v>8400</v>
      </c>
      <c r="BD17" s="62"/>
      <c r="BE17" s="59">
        <f t="shared" si="509"/>
        <v>7312.5376247923996</v>
      </c>
      <c r="BF17" s="62" t="e">
        <f t="shared" si="509"/>
        <v>#N/A</v>
      </c>
      <c r="BG17" s="59" t="e">
        <f t="shared" si="509"/>
        <v>#N/A</v>
      </c>
      <c r="BH17" s="53" t="e">
        <f t="shared" si="509"/>
        <v>#REF!</v>
      </c>
      <c r="BI17" s="53" t="e">
        <f t="shared" si="509"/>
        <v>#REF!</v>
      </c>
      <c r="BJ17" s="182" t="e">
        <f t="shared" si="509"/>
        <v>#REF!</v>
      </c>
      <c r="BK17" s="59">
        <f t="shared" si="509"/>
        <v>257668.35934942501</v>
      </c>
      <c r="BL17" s="59">
        <f t="shared" si="509"/>
        <v>384502</v>
      </c>
      <c r="BM17" s="59">
        <f t="shared" si="509"/>
        <v>349151.48138951301</v>
      </c>
      <c r="BN17" s="59">
        <f t="shared" si="509"/>
        <v>-91483.122040087997</v>
      </c>
      <c r="BO17" s="43">
        <f t="shared" si="492"/>
        <v>-0.26201556320487002</v>
      </c>
      <c r="BP17" s="4"/>
    </row>
    <row r="18" s="64" customFormat="1" ht="17" customHeight="1">
      <c r="A18" s="65"/>
      <c r="B18" s="66" t="s">
        <v>72</v>
      </c>
      <c r="C18" s="67">
        <v>1</v>
      </c>
      <c r="D18" s="67"/>
      <c r="E18" s="67"/>
      <c r="F18" s="68"/>
      <c r="G18" s="69" t="e">
        <f t="shared" ref="G18:M18" si="510">G19+G20</f>
        <v>#REF!</v>
      </c>
      <c r="H18" s="69" t="e">
        <f t="shared" si="510"/>
        <v>#REF!</v>
      </c>
      <c r="I18" s="69" t="e">
        <f t="shared" si="510"/>
        <v>#REF!</v>
      </c>
      <c r="J18" s="69" t="e">
        <f t="shared" si="510"/>
        <v>#REF!</v>
      </c>
      <c r="K18" s="69" t="e">
        <f t="shared" si="510"/>
        <v>#REF!</v>
      </c>
      <c r="L18" s="69" t="e">
        <f t="shared" si="510"/>
        <v>#REF!</v>
      </c>
      <c r="M18" s="69">
        <f t="shared" si="510"/>
        <v>59489</v>
      </c>
      <c r="N18" s="69">
        <v>9426</v>
      </c>
      <c r="O18" s="69">
        <f t="shared" ref="O18:AD18" si="511">O19+O20</f>
        <v>314463</v>
      </c>
      <c r="P18" s="69">
        <f t="shared" si="511"/>
        <v>157295.20000000001</v>
      </c>
      <c r="Q18" s="69">
        <f t="shared" si="511"/>
        <v>3450.8000000000002</v>
      </c>
      <c r="R18" s="69">
        <f t="shared" si="511"/>
        <v>48962</v>
      </c>
      <c r="S18" s="69">
        <f t="shared" si="511"/>
        <v>104882.39999999999</v>
      </c>
      <c r="T18" s="69">
        <f t="shared" si="511"/>
        <v>0</v>
      </c>
      <c r="U18" s="69">
        <f t="shared" si="511"/>
        <v>0</v>
      </c>
      <c r="V18" s="69">
        <f t="shared" si="511"/>
        <v>31197</v>
      </c>
      <c r="W18" s="69">
        <f t="shared" si="511"/>
        <v>28894.799999999999</v>
      </c>
      <c r="X18" s="69">
        <f t="shared" si="511"/>
        <v>23091</v>
      </c>
      <c r="Y18" s="69">
        <f t="shared" si="511"/>
        <v>11852</v>
      </c>
      <c r="Z18" s="69">
        <f t="shared" si="511"/>
        <v>0</v>
      </c>
      <c r="AA18" s="69">
        <f t="shared" si="511"/>
        <v>11852</v>
      </c>
      <c r="AB18" s="69">
        <f t="shared" si="511"/>
        <v>0</v>
      </c>
      <c r="AC18" s="69">
        <f t="shared" si="511"/>
        <v>4706</v>
      </c>
      <c r="AD18" s="69">
        <f t="shared" si="511"/>
        <v>18144.749914575699</v>
      </c>
      <c r="AE18" s="69"/>
      <c r="AF18" s="69">
        <f t="shared" ref="AF18:AL18" si="512">AF19+AF20</f>
        <v>5.7779626336529502</v>
      </c>
      <c r="AG18" s="69">
        <f t="shared" si="512"/>
        <v>25.8112989378766</v>
      </c>
      <c r="AH18" s="69">
        <f t="shared" si="512"/>
        <v>24.8040305447457</v>
      </c>
      <c r="AI18" s="69">
        <f t="shared" si="512"/>
        <v>7393.5106738180202</v>
      </c>
      <c r="AJ18" s="69">
        <f t="shared" si="512"/>
        <v>153844.39999999999</v>
      </c>
      <c r="AK18" s="69">
        <f t="shared" si="512"/>
        <v>109.451891807742</v>
      </c>
      <c r="AL18" s="69">
        <f t="shared" si="512"/>
        <v>51131.599699999999</v>
      </c>
      <c r="AM18" s="69">
        <v>202</v>
      </c>
      <c r="AN18" s="71">
        <v>6.9048654536998999</v>
      </c>
      <c r="AO18" s="69">
        <f t="shared" ref="AO18:AY18" si="513">AO19+AO20</f>
        <v>5759.1311500401898</v>
      </c>
      <c r="AP18" s="69">
        <f t="shared" si="513"/>
        <v>3000</v>
      </c>
      <c r="AQ18" s="69"/>
      <c r="AR18" s="69">
        <f t="shared" si="513"/>
        <v>167171</v>
      </c>
      <c r="AS18" s="69">
        <f t="shared" si="513"/>
        <v>2272.8001216389998</v>
      </c>
      <c r="AT18" s="69">
        <f t="shared" si="513"/>
        <v>2.3599999999999999</v>
      </c>
      <c r="AU18" s="69">
        <f t="shared" si="513"/>
        <v>1713.5994446776001</v>
      </c>
      <c r="AV18" s="69">
        <f t="shared" si="513"/>
        <v>6</v>
      </c>
      <c r="AW18" s="69">
        <f t="shared" si="513"/>
        <v>6000</v>
      </c>
      <c r="AX18" s="69">
        <f t="shared" si="513"/>
        <v>4014</v>
      </c>
      <c r="AY18" s="69">
        <f t="shared" si="513"/>
        <v>710.04999999999995</v>
      </c>
      <c r="AZ18" s="69"/>
      <c r="BA18" s="69">
        <f t="shared" ref="BA18:BK18" si="514">BA19+BA20</f>
        <v>3400</v>
      </c>
      <c r="BB18" s="69"/>
      <c r="BC18" s="69">
        <f t="shared" si="514"/>
        <v>4400</v>
      </c>
      <c r="BD18" s="71">
        <f t="shared" si="514"/>
        <v>502.72554536349298</v>
      </c>
      <c r="BE18" s="69">
        <f t="shared" si="514"/>
        <v>3300.1470717697598</v>
      </c>
      <c r="BF18" s="71" t="e">
        <f t="shared" si="514"/>
        <v>#N/A</v>
      </c>
      <c r="BG18" s="69" t="e">
        <f t="shared" si="514"/>
        <v>#N/A</v>
      </c>
      <c r="BH18" s="70" t="e">
        <f t="shared" si="514"/>
        <v>#REF!</v>
      </c>
      <c r="BI18" s="70" t="e">
        <f t="shared" si="514"/>
        <v>#REF!</v>
      </c>
      <c r="BJ18" s="183" t="e">
        <f t="shared" si="514"/>
        <v>#REF!</v>
      </c>
      <c r="BK18" s="184">
        <f t="shared" si="514"/>
        <v>59389.901727908997</v>
      </c>
      <c r="BL18" s="69">
        <v>59489</v>
      </c>
      <c r="BM18" s="184">
        <f>BM19+BM20</f>
        <v>54019.6734383195</v>
      </c>
      <c r="BN18" s="184">
        <f>BN19+BN20</f>
        <v>5370.2282895895196</v>
      </c>
      <c r="BO18" s="43">
        <f t="shared" si="492"/>
        <v>9.9412453792807998e-002</v>
      </c>
      <c r="BP18" s="185"/>
    </row>
    <row r="19" s="5" customFormat="1" ht="17" customHeight="1">
      <c r="A19" s="44"/>
      <c r="B19" s="72" t="s">
        <v>74</v>
      </c>
      <c r="C19" s="46">
        <v>2</v>
      </c>
      <c r="D19" s="46"/>
      <c r="E19" s="46"/>
      <c r="F19" s="47"/>
      <c r="G19" s="73"/>
      <c r="H19" s="73"/>
      <c r="I19" s="73"/>
      <c r="J19" s="73"/>
      <c r="K19" s="73"/>
      <c r="L19" s="73"/>
      <c r="M19" s="73"/>
      <c r="N19" s="73"/>
      <c r="O19" s="73"/>
      <c r="P19" s="59"/>
      <c r="Q19" s="59"/>
      <c r="R19" s="59"/>
      <c r="S19" s="59"/>
      <c r="T19" s="59"/>
      <c r="U19" s="59"/>
      <c r="V19" s="59"/>
      <c r="W19" s="59"/>
      <c r="X19" s="59"/>
      <c r="Y19" s="59">
        <f>T19*0.4+U19*0.6+V19*0.8+X19*1</f>
        <v>0</v>
      </c>
      <c r="Z19" s="59"/>
      <c r="AA19" s="59"/>
      <c r="AB19" s="59"/>
      <c r="AC19" s="59"/>
      <c r="AD19" s="59"/>
      <c r="AE19" s="59"/>
      <c r="AF19" s="62"/>
      <c r="AG19" s="62"/>
      <c r="AH19" s="62"/>
      <c r="AI19" s="59"/>
      <c r="AJ19" s="59"/>
      <c r="AK19" s="59"/>
      <c r="AL19" s="59"/>
      <c r="AM19" s="59"/>
      <c r="AN19" s="62"/>
      <c r="AO19" s="59"/>
      <c r="AP19" s="59"/>
      <c r="AQ19" s="59"/>
      <c r="AR19" s="59"/>
      <c r="AS19" s="59"/>
      <c r="AT19" s="59"/>
      <c r="AU19" s="59"/>
      <c r="AV19" s="59"/>
      <c r="AW19" s="59"/>
      <c r="AX19" s="59"/>
      <c r="AY19" s="62"/>
      <c r="AZ19" s="62"/>
      <c r="BA19" s="59"/>
      <c r="BB19" s="59"/>
      <c r="BC19" s="59"/>
      <c r="BD19" s="62"/>
      <c r="BE19" s="59"/>
      <c r="BF19" s="62"/>
      <c r="BG19" s="59"/>
      <c r="BH19" s="53"/>
      <c r="BI19" s="59"/>
      <c r="BJ19" s="182"/>
      <c r="BK19" s="170"/>
      <c r="BL19" s="73"/>
      <c r="BM19" s="73"/>
      <c r="BN19" s="50"/>
      <c r="BO19" s="43"/>
      <c r="BP19" s="4"/>
    </row>
    <row r="20" s="74" customFormat="1" ht="17" customHeight="1">
      <c r="A20" s="75"/>
      <c r="B20" s="76" t="s">
        <v>76</v>
      </c>
      <c r="C20" s="77">
        <v>3</v>
      </c>
      <c r="D20" s="77"/>
      <c r="E20" s="77"/>
      <c r="F20" s="78"/>
      <c r="G20" s="79" t="e">
        <f t="shared" ref="G20:M20" si="515">SUM(G21:G34)</f>
        <v>#REF!</v>
      </c>
      <c r="H20" s="79" t="e">
        <f t="shared" si="515"/>
        <v>#REF!</v>
      </c>
      <c r="I20" s="79" t="e">
        <f t="shared" si="515"/>
        <v>#REF!</v>
      </c>
      <c r="J20" s="79" t="e">
        <f t="shared" si="515"/>
        <v>#REF!</v>
      </c>
      <c r="K20" s="79" t="e">
        <f t="shared" si="515"/>
        <v>#REF!</v>
      </c>
      <c r="L20" s="79" t="e">
        <f t="shared" si="515"/>
        <v>#REF!</v>
      </c>
      <c r="M20" s="79">
        <f t="shared" si="515"/>
        <v>59489</v>
      </c>
      <c r="N20" s="79">
        <v>9426</v>
      </c>
      <c r="O20" s="79">
        <f t="shared" ref="O20:AD20" si="516">SUM(O21:O34)</f>
        <v>314463</v>
      </c>
      <c r="P20" s="79">
        <f t="shared" si="516"/>
        <v>157295.20000000001</v>
      </c>
      <c r="Q20" s="79">
        <f t="shared" si="516"/>
        <v>3450.8000000000002</v>
      </c>
      <c r="R20" s="79">
        <f t="shared" si="516"/>
        <v>48962</v>
      </c>
      <c r="S20" s="79">
        <f t="shared" si="516"/>
        <v>104882.39999999999</v>
      </c>
      <c r="T20" s="79">
        <f t="shared" si="516"/>
        <v>0</v>
      </c>
      <c r="U20" s="79">
        <f t="shared" si="516"/>
        <v>0</v>
      </c>
      <c r="V20" s="79">
        <f t="shared" si="516"/>
        <v>31197</v>
      </c>
      <c r="W20" s="79">
        <f t="shared" si="516"/>
        <v>28894.799999999999</v>
      </c>
      <c r="X20" s="79">
        <f t="shared" si="516"/>
        <v>23091</v>
      </c>
      <c r="Y20" s="79">
        <f t="shared" si="516"/>
        <v>11852</v>
      </c>
      <c r="Z20" s="79">
        <f t="shared" si="516"/>
        <v>0</v>
      </c>
      <c r="AA20" s="79">
        <f t="shared" si="516"/>
        <v>11852</v>
      </c>
      <c r="AB20" s="79">
        <f t="shared" si="516"/>
        <v>0</v>
      </c>
      <c r="AC20" s="79">
        <f t="shared" si="516"/>
        <v>4706</v>
      </c>
      <c r="AD20" s="79">
        <f t="shared" si="516"/>
        <v>18144.749914575699</v>
      </c>
      <c r="AE20" s="79"/>
      <c r="AF20" s="79">
        <f t="shared" ref="AF20:AL20" si="517">SUM(AF21:AF34)</f>
        <v>5.7779626336529502</v>
      </c>
      <c r="AG20" s="79">
        <f t="shared" si="517"/>
        <v>25.8112989378766</v>
      </c>
      <c r="AH20" s="79">
        <f t="shared" si="517"/>
        <v>24.8040305447457</v>
      </c>
      <c r="AI20" s="79">
        <f t="shared" si="517"/>
        <v>7393.5106738180202</v>
      </c>
      <c r="AJ20" s="79">
        <f t="shared" si="517"/>
        <v>153844.39999999999</v>
      </c>
      <c r="AK20" s="79">
        <f t="shared" si="517"/>
        <v>109.451891807742</v>
      </c>
      <c r="AL20" s="79">
        <f t="shared" si="517"/>
        <v>51131.599699999999</v>
      </c>
      <c r="AM20" s="79">
        <v>202</v>
      </c>
      <c r="AN20" s="81">
        <v>6.9048654536998999</v>
      </c>
      <c r="AO20" s="79">
        <f t="shared" ref="AO20:AY20" si="518">SUM(AO21:AO34)</f>
        <v>5759.1311500401898</v>
      </c>
      <c r="AP20" s="79">
        <f t="shared" si="518"/>
        <v>3000</v>
      </c>
      <c r="AQ20" s="79"/>
      <c r="AR20" s="79">
        <f t="shared" si="518"/>
        <v>167171</v>
      </c>
      <c r="AS20" s="79">
        <f t="shared" si="518"/>
        <v>2272.8001216389998</v>
      </c>
      <c r="AT20" s="79">
        <f t="shared" si="518"/>
        <v>2.3599999999999999</v>
      </c>
      <c r="AU20" s="79">
        <f t="shared" si="518"/>
        <v>1713.5994446776001</v>
      </c>
      <c r="AV20" s="79">
        <f t="shared" si="518"/>
        <v>6</v>
      </c>
      <c r="AW20" s="79">
        <f t="shared" si="518"/>
        <v>6000</v>
      </c>
      <c r="AX20" s="79">
        <f t="shared" si="518"/>
        <v>4014</v>
      </c>
      <c r="AY20" s="79">
        <f t="shared" si="518"/>
        <v>710.04999999999995</v>
      </c>
      <c r="AZ20" s="79"/>
      <c r="BA20" s="79">
        <f t="shared" ref="BA20:BK20" si="519">SUM(BA21:BA34)</f>
        <v>3400</v>
      </c>
      <c r="BB20" s="79"/>
      <c r="BC20" s="79">
        <f t="shared" si="519"/>
        <v>4400</v>
      </c>
      <c r="BD20" s="81">
        <f t="shared" si="519"/>
        <v>502.72554536349298</v>
      </c>
      <c r="BE20" s="79">
        <f t="shared" si="519"/>
        <v>3300.1470717697598</v>
      </c>
      <c r="BF20" s="81" t="e">
        <f t="shared" si="519"/>
        <v>#N/A</v>
      </c>
      <c r="BG20" s="79" t="e">
        <f t="shared" si="519"/>
        <v>#N/A</v>
      </c>
      <c r="BH20" s="80" t="e">
        <f t="shared" si="519"/>
        <v>#REF!</v>
      </c>
      <c r="BI20" s="80" t="e">
        <f t="shared" si="519"/>
        <v>#REF!</v>
      </c>
      <c r="BJ20" s="186" t="e">
        <f t="shared" si="519"/>
        <v>#REF!</v>
      </c>
      <c r="BK20" s="187">
        <f t="shared" si="519"/>
        <v>59389.901727908997</v>
      </c>
      <c r="BL20" s="79">
        <v>59489</v>
      </c>
      <c r="BM20" s="187">
        <f>SUM(BM21:BM34)</f>
        <v>54019.6734383195</v>
      </c>
      <c r="BN20" s="187">
        <f>SUM(BN21:BN34)</f>
        <v>5370.2282895895196</v>
      </c>
      <c r="BO20" s="43">
        <f t="shared" si="492"/>
        <v>9.9412453792807998e-002</v>
      </c>
      <c r="BP20" s="188"/>
    </row>
    <row r="21" s="5" customFormat="1" ht="17" customHeight="1">
      <c r="A21" s="46">
        <v>1</v>
      </c>
      <c r="B21" s="82" t="s">
        <v>59</v>
      </c>
      <c r="C21" s="46" t="s">
        <v>78</v>
      </c>
      <c r="D21" s="46"/>
      <c r="E21" s="46"/>
      <c r="F21" s="47"/>
      <c r="G21" s="73" t="e">
        <f>VLOOKUP(B:B,#REF!,2,0)</f>
        <v>#REF!</v>
      </c>
      <c r="H21" s="73" t="e">
        <f t="shared" ref="H21:H34" si="520">G21*299423/381298.76</f>
        <v>#REF!</v>
      </c>
      <c r="I21" s="59" t="e">
        <f>VLOOKUP(B21,#REF!,4,0)</f>
        <v>#REF!</v>
      </c>
      <c r="J21" s="59" t="e">
        <f>VLOOKUP(B21,#REF!,2,0)</f>
        <v>#REF!</v>
      </c>
      <c r="K21" s="73" t="e">
        <f t="shared" ref="K21:K34" si="521">I21*1485211/1408452</f>
        <v>#REF!</v>
      </c>
      <c r="L21" s="73" t="e">
        <f t="shared" ref="L21:L34" si="522">J21*1485211/1408452</f>
        <v>#REF!</v>
      </c>
      <c r="M21" s="59">
        <v>642</v>
      </c>
      <c r="N21" s="59">
        <v>104</v>
      </c>
      <c r="O21" s="73">
        <v>3200</v>
      </c>
      <c r="P21" s="59">
        <f t="shared" ref="P21:P34" si="523">SUM(Q21:U21)</f>
        <v>640</v>
      </c>
      <c r="Q21" s="59">
        <f t="shared" ref="Q21:Q34" si="524">IF(D21="",O21*0.2,0)</f>
        <v>640</v>
      </c>
      <c r="R21" s="59">
        <f t="shared" ref="R21:R34" si="525">IF(D21=2017,O21*0.4,0)</f>
        <v>0</v>
      </c>
      <c r="S21" s="59">
        <f t="shared" ref="S21:S34" si="526">IF(D21=2018,O21*0.6,0)</f>
        <v>0</v>
      </c>
      <c r="T21" s="59">
        <f t="shared" ref="T21:T34" si="527">IF(D21=2019,O21*0.8,0)</f>
        <v>0</v>
      </c>
      <c r="U21" s="59">
        <f t="shared" ref="U21:U34" si="528">IF(D21=2020,O21*1,0)</f>
        <v>0</v>
      </c>
      <c r="V21" s="59"/>
      <c r="W21" s="59"/>
      <c r="X21" s="59"/>
      <c r="Y21" s="59">
        <f>Z21+AA21+AB21*1.2</f>
        <v>0</v>
      </c>
      <c r="Z21" s="59"/>
      <c r="AA21" s="59"/>
      <c r="AB21" s="59"/>
      <c r="AC21" s="59">
        <v>75</v>
      </c>
      <c r="AD21" s="59">
        <f t="shared" ref="AD21:AD34" si="529">O21/$O$9*202299+W21/$W$9*134866+AC21/$AC$9*34867+X21/$X$9*100000</f>
        <v>115.030994858336</v>
      </c>
      <c r="AE21" s="59">
        <v>11716.66</v>
      </c>
      <c r="AF21" s="62">
        <f>($AE$64-AE21)/($AE$64-$AE$44)</f>
        <v>0.63609283171588904</v>
      </c>
      <c r="AG21" s="62">
        <f>(O21+V21)*AF21/10000</f>
        <v>0.20354970614908499</v>
      </c>
      <c r="AH21" s="62">
        <f>AG21*0.2</f>
        <v>4.0709941229816901e-002</v>
      </c>
      <c r="AI21" s="59">
        <f>AH21/$AH$9*1348663*0.1</f>
        <v>12.1346965957884</v>
      </c>
      <c r="AJ21" s="59"/>
      <c r="AK21" s="59"/>
      <c r="AL21" s="59">
        <v>243.59999999999999</v>
      </c>
      <c r="AM21" s="59">
        <v>0</v>
      </c>
      <c r="AN21" s="62">
        <v>0</v>
      </c>
      <c r="AO21" s="59">
        <f>(AL21/$AL$9*80000)</f>
        <v>27.4375211489773</v>
      </c>
      <c r="AP21" s="59"/>
      <c r="AQ21" s="59"/>
      <c r="AR21" s="59">
        <v>1427</v>
      </c>
      <c r="AS21" s="59">
        <f>AR21/$AR$9*50000</f>
        <v>19.547168674121199</v>
      </c>
      <c r="AT21" s="189">
        <v>0.14999999999999999</v>
      </c>
      <c r="AU21" s="59">
        <f>AT21/$AT$9*50000</f>
        <v>108.915218941373</v>
      </c>
      <c r="AV21" s="59"/>
      <c r="AW21" s="59"/>
      <c r="AX21" s="59"/>
      <c r="AY21" s="62">
        <v>76.530000000000001</v>
      </c>
      <c r="AZ21" s="62" t="s">
        <v>440</v>
      </c>
      <c r="BA21" s="59"/>
      <c r="BB21" s="59"/>
      <c r="BC21" s="59"/>
      <c r="BD21" s="62">
        <v>39.438211544146597</v>
      </c>
      <c r="BE21" s="59">
        <f>BD21/$BD$9*42266</f>
        <v>494.284807159205</v>
      </c>
      <c r="BF21" s="62" t="e">
        <f>VLOOKUP(B21,'2022年项目库建设情况'!B:O,14,0)</f>
        <v>#N/A</v>
      </c>
      <c r="BG21" s="59" t="e">
        <f>BF21/$BF$9*1348663*0.025</f>
        <v>#N/A</v>
      </c>
      <c r="BH21" s="53" t="e">
        <f>ROUND(AI21+AD21+#REF!+#REF!+BE21+BG21,0)</f>
        <v>#REF!</v>
      </c>
      <c r="BI21" s="59" t="e">
        <f t="shared" ref="BI21:BI34" si="530">N21-G21</f>
        <v>#REF!</v>
      </c>
      <c r="BJ21" s="167" t="e">
        <f>BI21/G21</f>
        <v>#REF!</v>
      </c>
      <c r="BK21" s="170">
        <f>AD21+AI21+AO21+AP21+AS21+AU21+AW21+AX21+BA21+BC21+BE21</f>
        <v>777.35040737780105</v>
      </c>
      <c r="BL21" s="59">
        <v>642</v>
      </c>
      <c r="BM21" s="59">
        <f t="shared" ref="BM21:BM34" si="531">BL21/$BL$9*1348663</f>
        <v>582.97551391687796</v>
      </c>
      <c r="BN21" s="59">
        <f t="shared" ref="BN21:BN34" si="532">BK21-BM21</f>
        <v>194.374893460923</v>
      </c>
      <c r="BO21" s="43">
        <f t="shared" si="492"/>
        <v>0.33341862363131403</v>
      </c>
      <c r="BP21" s="4"/>
    </row>
    <row r="22" ht="17" customHeight="1">
      <c r="A22" s="46">
        <v>2</v>
      </c>
      <c r="B22" s="82" t="s">
        <v>57</v>
      </c>
      <c r="C22" s="46" t="s">
        <v>78</v>
      </c>
      <c r="D22" s="46"/>
      <c r="E22" s="46"/>
      <c r="F22" s="47"/>
      <c r="G22" s="73" t="e">
        <f>VLOOKUP(B:B,#REF!,2,0)</f>
        <v>#REF!</v>
      </c>
      <c r="H22" s="73" t="e">
        <f t="shared" si="520"/>
        <v>#REF!</v>
      </c>
      <c r="I22" s="59" t="e">
        <f>VLOOKUP(B22,#REF!,4,0)</f>
        <v>#REF!</v>
      </c>
      <c r="J22" s="59" t="e">
        <f>VLOOKUP(B22,#REF!,2,0)</f>
        <v>#REF!</v>
      </c>
      <c r="K22" s="73" t="e">
        <f t="shared" si="521"/>
        <v>#REF!</v>
      </c>
      <c r="L22" s="73" t="e">
        <f t="shared" si="522"/>
        <v>#REF!</v>
      </c>
      <c r="M22" s="59">
        <v>0</v>
      </c>
      <c r="N22" s="59">
        <v>0</v>
      </c>
      <c r="O22" s="73"/>
      <c r="P22" s="59">
        <f t="shared" si="523"/>
        <v>0</v>
      </c>
      <c r="Q22" s="59">
        <f t="shared" si="524"/>
        <v>0</v>
      </c>
      <c r="R22" s="59">
        <f t="shared" si="525"/>
        <v>0</v>
      </c>
      <c r="S22" s="59">
        <f t="shared" si="526"/>
        <v>0</v>
      </c>
      <c r="T22" s="59">
        <f t="shared" si="527"/>
        <v>0</v>
      </c>
      <c r="U22" s="59">
        <f t="shared" si="528"/>
        <v>0</v>
      </c>
      <c r="V22" s="59">
        <v>11</v>
      </c>
      <c r="W22" s="59"/>
      <c r="X22" s="59"/>
      <c r="Y22" s="59"/>
      <c r="Z22" s="59"/>
      <c r="AA22" s="59"/>
      <c r="AB22" s="59"/>
      <c r="AC22" s="59">
        <v>0</v>
      </c>
      <c r="AD22" s="59">
        <f t="shared" si="529"/>
        <v>0</v>
      </c>
      <c r="AE22" s="59">
        <v>11985.23</v>
      </c>
      <c r="AF22" s="62"/>
      <c r="AG22" s="62"/>
      <c r="AH22" s="62"/>
      <c r="AI22" s="59"/>
      <c r="AJ22" s="59"/>
      <c r="AK22" s="59"/>
      <c r="AL22" s="59"/>
      <c r="AM22" s="59"/>
      <c r="AN22" s="62"/>
      <c r="AO22" s="59"/>
      <c r="AP22" s="59"/>
      <c r="AQ22" s="59"/>
      <c r="AR22" s="59">
        <v>33</v>
      </c>
      <c r="AS22" s="59"/>
      <c r="AT22" s="189"/>
      <c r="AU22" s="59"/>
      <c r="AV22" s="59"/>
      <c r="AW22" s="59"/>
      <c r="AX22" s="59"/>
      <c r="AY22" s="62"/>
      <c r="AZ22" s="62"/>
      <c r="BA22" s="59"/>
      <c r="BB22" s="59"/>
      <c r="BC22" s="59"/>
      <c r="BD22" s="62">
        <v>50.011918513897697</v>
      </c>
      <c r="BE22" s="59"/>
      <c r="BF22" s="62" t="e">
        <f>VLOOKUP(B22,'2022年项目库建设情况'!B:O,14,0)</f>
        <v>#N/A</v>
      </c>
      <c r="BG22" s="59"/>
      <c r="BH22" s="53"/>
      <c r="BI22" s="59" t="e">
        <f t="shared" si="530"/>
        <v>#REF!</v>
      </c>
      <c r="BJ22" s="167"/>
      <c r="BK22" s="170"/>
      <c r="BL22" s="59">
        <v>0</v>
      </c>
      <c r="BM22" s="59">
        <f t="shared" si="531"/>
        <v>0</v>
      </c>
      <c r="BN22" s="59">
        <f t="shared" si="532"/>
        <v>0</v>
      </c>
      <c r="BO22" s="43"/>
    </row>
    <row r="23" ht="17" customHeight="1">
      <c r="A23" s="46">
        <v>3</v>
      </c>
      <c r="B23" s="82" t="s">
        <v>63</v>
      </c>
      <c r="C23" s="46" t="s">
        <v>78</v>
      </c>
      <c r="D23" s="46"/>
      <c r="E23" s="46"/>
      <c r="F23" s="47"/>
      <c r="G23" s="73" t="e">
        <f>VLOOKUP(B:B,#REF!,2,0)</f>
        <v>#REF!</v>
      </c>
      <c r="H23" s="73" t="e">
        <f t="shared" si="520"/>
        <v>#REF!</v>
      </c>
      <c r="I23" s="59" t="e">
        <f>VLOOKUP(B23,#REF!,4,0)</f>
        <v>#REF!</v>
      </c>
      <c r="J23" s="59" t="e">
        <f>VLOOKUP(B23,#REF!,2,0)</f>
        <v>#REF!</v>
      </c>
      <c r="K23" s="73" t="e">
        <f t="shared" si="521"/>
        <v>#REF!</v>
      </c>
      <c r="L23" s="73" t="e">
        <f t="shared" si="522"/>
        <v>#REF!</v>
      </c>
      <c r="M23" s="59">
        <v>0</v>
      </c>
      <c r="N23" s="59">
        <v>0</v>
      </c>
      <c r="O23" s="73"/>
      <c r="P23" s="59">
        <f t="shared" si="523"/>
        <v>0</v>
      </c>
      <c r="Q23" s="59">
        <f t="shared" si="524"/>
        <v>0</v>
      </c>
      <c r="R23" s="59">
        <f t="shared" si="525"/>
        <v>0</v>
      </c>
      <c r="S23" s="59">
        <f t="shared" si="526"/>
        <v>0</v>
      </c>
      <c r="T23" s="59">
        <f t="shared" si="527"/>
        <v>0</v>
      </c>
      <c r="U23" s="59">
        <f t="shared" si="528"/>
        <v>0</v>
      </c>
      <c r="V23" s="59"/>
      <c r="W23" s="59"/>
      <c r="X23" s="59"/>
      <c r="Y23" s="59"/>
      <c r="Z23" s="59"/>
      <c r="AA23" s="59"/>
      <c r="AB23" s="59"/>
      <c r="AC23" s="59">
        <v>0</v>
      </c>
      <c r="AD23" s="59">
        <f t="shared" si="529"/>
        <v>0</v>
      </c>
      <c r="AE23" s="59">
        <v>12812.84</v>
      </c>
      <c r="AF23" s="62"/>
      <c r="AG23" s="62"/>
      <c r="AH23" s="62"/>
      <c r="AI23" s="59"/>
      <c r="AJ23" s="59"/>
      <c r="AK23" s="59"/>
      <c r="AL23" s="59"/>
      <c r="AM23" s="59"/>
      <c r="AN23" s="62"/>
      <c r="AO23" s="59"/>
      <c r="AP23" s="59"/>
      <c r="AQ23" s="59"/>
      <c r="AR23" s="59">
        <v>261</v>
      </c>
      <c r="AS23" s="59"/>
      <c r="AT23" s="189"/>
      <c r="AU23" s="59"/>
      <c r="AV23" s="59"/>
      <c r="AW23" s="59"/>
      <c r="AX23" s="59"/>
      <c r="AY23" s="62"/>
      <c r="AZ23" s="62"/>
      <c r="BA23" s="59"/>
      <c r="BB23" s="59"/>
      <c r="BC23" s="59"/>
      <c r="BD23" s="62">
        <v>39.384286503857801</v>
      </c>
      <c r="BE23" s="59"/>
      <c r="BF23" s="62" t="e">
        <f>VLOOKUP(B23,'2022年项目库建设情况'!B:O,14,0)</f>
        <v>#N/A</v>
      </c>
      <c r="BG23" s="59"/>
      <c r="BH23" s="53"/>
      <c r="BI23" s="59" t="e">
        <f t="shared" si="530"/>
        <v>#REF!</v>
      </c>
      <c r="BJ23" s="167"/>
      <c r="BK23" s="170"/>
      <c r="BL23" s="59">
        <v>0</v>
      </c>
      <c r="BM23" s="59">
        <f t="shared" si="531"/>
        <v>0</v>
      </c>
      <c r="BN23" s="59">
        <f t="shared" si="532"/>
        <v>0</v>
      </c>
      <c r="BO23" s="43"/>
    </row>
    <row r="24" ht="17" customHeight="1">
      <c r="A24" s="46">
        <v>4</v>
      </c>
      <c r="B24" s="82" t="s">
        <v>61</v>
      </c>
      <c r="C24" s="46" t="s">
        <v>78</v>
      </c>
      <c r="D24" s="46"/>
      <c r="E24" s="46"/>
      <c r="F24" s="47"/>
      <c r="G24" s="73" t="e">
        <f>VLOOKUP(B:B,#REF!,2,0)</f>
        <v>#REF!</v>
      </c>
      <c r="H24" s="73" t="e">
        <f t="shared" si="520"/>
        <v>#REF!</v>
      </c>
      <c r="I24" s="59" t="e">
        <f>VLOOKUP(B24,#REF!,4,0)</f>
        <v>#REF!</v>
      </c>
      <c r="J24" s="59" t="e">
        <f>VLOOKUP(B24,#REF!,2,0)</f>
        <v>#REF!</v>
      </c>
      <c r="K24" s="73" t="e">
        <f t="shared" si="521"/>
        <v>#REF!</v>
      </c>
      <c r="L24" s="73" t="e">
        <f t="shared" si="522"/>
        <v>#REF!</v>
      </c>
      <c r="M24" s="59">
        <v>0</v>
      </c>
      <c r="N24" s="59">
        <v>0</v>
      </c>
      <c r="O24" s="73"/>
      <c r="P24" s="59">
        <f t="shared" si="523"/>
        <v>0</v>
      </c>
      <c r="Q24" s="59">
        <f t="shared" si="524"/>
        <v>0</v>
      </c>
      <c r="R24" s="59">
        <f t="shared" si="525"/>
        <v>0</v>
      </c>
      <c r="S24" s="59">
        <f t="shared" si="526"/>
        <v>0</v>
      </c>
      <c r="T24" s="59">
        <f t="shared" si="527"/>
        <v>0</v>
      </c>
      <c r="U24" s="59">
        <f t="shared" si="528"/>
        <v>0</v>
      </c>
      <c r="V24" s="59"/>
      <c r="W24" s="59"/>
      <c r="X24" s="59"/>
      <c r="Y24" s="59"/>
      <c r="Z24" s="59"/>
      <c r="AA24" s="59"/>
      <c r="AB24" s="59"/>
      <c r="AC24" s="59"/>
      <c r="AD24" s="59">
        <f t="shared" si="529"/>
        <v>0</v>
      </c>
      <c r="AE24" s="59"/>
      <c r="AF24" s="62"/>
      <c r="AG24" s="62"/>
      <c r="AH24" s="62"/>
      <c r="AI24" s="59"/>
      <c r="AJ24" s="59"/>
      <c r="AK24" s="59"/>
      <c r="AL24" s="59"/>
      <c r="AM24" s="59"/>
      <c r="AN24" s="62"/>
      <c r="AO24" s="59"/>
      <c r="AP24" s="59"/>
      <c r="AQ24" s="59"/>
      <c r="AR24" s="59"/>
      <c r="AS24" s="59"/>
      <c r="AT24" s="189"/>
      <c r="AU24" s="59"/>
      <c r="AV24" s="59"/>
      <c r="AW24" s="59"/>
      <c r="AX24" s="59"/>
      <c r="AY24" s="62"/>
      <c r="AZ24" s="62"/>
      <c r="BA24" s="59"/>
      <c r="BB24" s="59"/>
      <c r="BC24" s="59"/>
      <c r="BD24" s="62">
        <v>50.0045157102345</v>
      </c>
      <c r="BE24" s="59"/>
      <c r="BF24" s="62" t="e">
        <f>VLOOKUP(B24,'2022年项目库建设情况'!B:O,14,0)</f>
        <v>#N/A</v>
      </c>
      <c r="BG24" s="59"/>
      <c r="BH24" s="53"/>
      <c r="BI24" s="59" t="e">
        <f t="shared" si="530"/>
        <v>#REF!</v>
      </c>
      <c r="BJ24" s="167"/>
      <c r="BK24" s="170"/>
      <c r="BL24" s="59">
        <v>0</v>
      </c>
      <c r="BM24" s="59">
        <f t="shared" si="531"/>
        <v>0</v>
      </c>
      <c r="BN24" s="59">
        <f t="shared" si="532"/>
        <v>0</v>
      </c>
      <c r="BO24" s="43"/>
    </row>
    <row r="25" ht="17" customHeight="1">
      <c r="A25" s="46">
        <v>5</v>
      </c>
      <c r="B25" s="82" t="s">
        <v>67</v>
      </c>
      <c r="C25" s="46" t="s">
        <v>78</v>
      </c>
      <c r="D25" s="46"/>
      <c r="E25" s="46"/>
      <c r="F25" s="47"/>
      <c r="G25" s="73" t="e">
        <f>VLOOKUP(B:B,#REF!,2,0)</f>
        <v>#REF!</v>
      </c>
      <c r="H25" s="73" t="e">
        <f t="shared" si="520"/>
        <v>#REF!</v>
      </c>
      <c r="I25" s="59" t="e">
        <f>VLOOKUP(B25,#REF!,4,0)</f>
        <v>#REF!</v>
      </c>
      <c r="J25" s="59" t="e">
        <f>VLOOKUP(B25,#REF!,2,0)</f>
        <v>#REF!</v>
      </c>
      <c r="K25" s="73" t="e">
        <f t="shared" si="521"/>
        <v>#REF!</v>
      </c>
      <c r="L25" s="73" t="e">
        <f t="shared" si="522"/>
        <v>#REF!</v>
      </c>
      <c r="M25" s="59">
        <v>0</v>
      </c>
      <c r="N25" s="59">
        <v>0</v>
      </c>
      <c r="O25" s="73"/>
      <c r="P25" s="59">
        <f t="shared" si="523"/>
        <v>0</v>
      </c>
      <c r="Q25" s="59">
        <f t="shared" si="524"/>
        <v>0</v>
      </c>
      <c r="R25" s="59">
        <f t="shared" si="525"/>
        <v>0</v>
      </c>
      <c r="S25" s="59">
        <f t="shared" si="526"/>
        <v>0</v>
      </c>
      <c r="T25" s="59">
        <f t="shared" si="527"/>
        <v>0</v>
      </c>
      <c r="U25" s="59">
        <f t="shared" si="528"/>
        <v>0</v>
      </c>
      <c r="V25" s="59"/>
      <c r="W25" s="59"/>
      <c r="X25" s="59"/>
      <c r="Y25" s="59"/>
      <c r="Z25" s="59"/>
      <c r="AA25" s="59"/>
      <c r="AB25" s="59"/>
      <c r="AC25" s="59">
        <v>0</v>
      </c>
      <c r="AD25" s="59">
        <f t="shared" si="529"/>
        <v>0</v>
      </c>
      <c r="AE25" s="59">
        <v>16020.01</v>
      </c>
      <c r="AF25" s="62"/>
      <c r="AG25" s="62"/>
      <c r="AH25" s="62"/>
      <c r="AI25" s="59"/>
      <c r="AJ25" s="59"/>
      <c r="AK25" s="59"/>
      <c r="AL25" s="59"/>
      <c r="AM25" s="59"/>
      <c r="AN25" s="62"/>
      <c r="AO25" s="59"/>
      <c r="AP25" s="59"/>
      <c r="AQ25" s="59"/>
      <c r="AR25" s="59">
        <v>169</v>
      </c>
      <c r="AS25" s="59"/>
      <c r="AT25" s="189"/>
      <c r="AU25" s="59"/>
      <c r="AV25" s="59"/>
      <c r="AW25" s="59"/>
      <c r="AX25" s="59"/>
      <c r="AY25" s="62"/>
      <c r="AZ25" s="62"/>
      <c r="BA25" s="59"/>
      <c r="BB25" s="59"/>
      <c r="BC25" s="59"/>
      <c r="BD25" s="62">
        <v>50.004145570051399</v>
      </c>
      <c r="BE25" s="59"/>
      <c r="BF25" s="62" t="e">
        <f>VLOOKUP(B25,'2022年项目库建设情况'!B:O,14,0)</f>
        <v>#N/A</v>
      </c>
      <c r="BG25" s="59"/>
      <c r="BH25" s="53"/>
      <c r="BI25" s="59" t="e">
        <f t="shared" si="530"/>
        <v>#REF!</v>
      </c>
      <c r="BJ25" s="167"/>
      <c r="BK25" s="170"/>
      <c r="BL25" s="59">
        <v>0</v>
      </c>
      <c r="BM25" s="59">
        <f t="shared" si="531"/>
        <v>0</v>
      </c>
      <c r="BN25" s="59">
        <f t="shared" si="532"/>
        <v>0</v>
      </c>
      <c r="BO25" s="43"/>
    </row>
    <row r="26" ht="17" customHeight="1">
      <c r="A26" s="46">
        <v>6</v>
      </c>
      <c r="B26" s="82" t="s">
        <v>81</v>
      </c>
      <c r="C26" s="46" t="s">
        <v>78</v>
      </c>
      <c r="D26" s="46"/>
      <c r="E26" s="46"/>
      <c r="F26" s="47"/>
      <c r="G26" s="73" t="e">
        <f>VLOOKUP(B:B,#REF!,2,0)</f>
        <v>#REF!</v>
      </c>
      <c r="H26" s="73" t="e">
        <f t="shared" si="520"/>
        <v>#REF!</v>
      </c>
      <c r="I26" s="59" t="e">
        <f>VLOOKUP(B26,#REF!,4,0)</f>
        <v>#REF!</v>
      </c>
      <c r="J26" s="59" t="e">
        <f>VLOOKUP(B26,#REF!,2,0)</f>
        <v>#REF!</v>
      </c>
      <c r="K26" s="73" t="e">
        <f t="shared" si="521"/>
        <v>#REF!</v>
      </c>
      <c r="L26" s="73" t="e">
        <f t="shared" si="522"/>
        <v>#REF!</v>
      </c>
      <c r="M26" s="59">
        <v>0</v>
      </c>
      <c r="N26" s="59">
        <v>0</v>
      </c>
      <c r="O26" s="73"/>
      <c r="P26" s="59">
        <f t="shared" si="523"/>
        <v>0</v>
      </c>
      <c r="Q26" s="59">
        <f t="shared" si="524"/>
        <v>0</v>
      </c>
      <c r="R26" s="59">
        <f t="shared" si="525"/>
        <v>0</v>
      </c>
      <c r="S26" s="59">
        <f t="shared" si="526"/>
        <v>0</v>
      </c>
      <c r="T26" s="59">
        <f t="shared" si="527"/>
        <v>0</v>
      </c>
      <c r="U26" s="59">
        <f t="shared" si="528"/>
        <v>0</v>
      </c>
      <c r="V26" s="59"/>
      <c r="W26" s="59"/>
      <c r="X26" s="59"/>
      <c r="Y26" s="59"/>
      <c r="Z26" s="59"/>
      <c r="AA26" s="59"/>
      <c r="AB26" s="59"/>
      <c r="AC26" s="59">
        <v>34</v>
      </c>
      <c r="AD26" s="59">
        <f t="shared" si="529"/>
        <v>8.0366486112711808</v>
      </c>
      <c r="AE26" s="59">
        <v>14377.950000000001</v>
      </c>
      <c r="AF26" s="62"/>
      <c r="AG26" s="62"/>
      <c r="AH26" s="62"/>
      <c r="AI26" s="59"/>
      <c r="AJ26" s="59"/>
      <c r="AK26" s="59"/>
      <c r="AL26" s="59"/>
      <c r="AM26" s="59"/>
      <c r="AN26" s="62"/>
      <c r="AO26" s="59"/>
      <c r="AP26" s="59"/>
      <c r="AQ26" s="59"/>
      <c r="AR26" s="59">
        <v>787</v>
      </c>
      <c r="AS26" s="59"/>
      <c r="AT26" s="189"/>
      <c r="AU26" s="59"/>
      <c r="AV26" s="59"/>
      <c r="AW26" s="59"/>
      <c r="AX26" s="59"/>
      <c r="AY26" s="62"/>
      <c r="AZ26" s="62"/>
      <c r="BA26" s="59"/>
      <c r="BB26" s="59"/>
      <c r="BC26" s="59"/>
      <c r="BD26" s="62">
        <v>50.007106691516597</v>
      </c>
      <c r="BE26" s="59"/>
      <c r="BF26" s="62" t="e">
        <f>VLOOKUP(B26,'2022年项目库建设情况'!B:O,14,0)</f>
        <v>#N/A</v>
      </c>
      <c r="BG26" s="59"/>
      <c r="BH26" s="53"/>
      <c r="BI26" s="59" t="e">
        <f t="shared" si="530"/>
        <v>#REF!</v>
      </c>
      <c r="BJ26" s="167"/>
      <c r="BK26" s="170"/>
      <c r="BL26" s="59">
        <v>0</v>
      </c>
      <c r="BM26" s="59">
        <f t="shared" si="531"/>
        <v>0</v>
      </c>
      <c r="BN26" s="59">
        <f t="shared" si="532"/>
        <v>0</v>
      </c>
      <c r="BO26" s="43"/>
    </row>
    <row r="27" ht="17" customHeight="1">
      <c r="A27" s="46">
        <v>7</v>
      </c>
      <c r="B27" s="82" t="s">
        <v>71</v>
      </c>
      <c r="C27" s="46" t="s">
        <v>78</v>
      </c>
      <c r="D27" s="46"/>
      <c r="E27" s="46"/>
      <c r="F27" s="47"/>
      <c r="G27" s="73" t="e">
        <f>VLOOKUP(B:B,#REF!,2,0)</f>
        <v>#REF!</v>
      </c>
      <c r="H27" s="73" t="e">
        <f t="shared" si="520"/>
        <v>#REF!</v>
      </c>
      <c r="I27" s="59" t="e">
        <f>VLOOKUP(B27,#REF!,4,0)</f>
        <v>#REF!</v>
      </c>
      <c r="J27" s="59" t="e">
        <f>VLOOKUP(B27,#REF!,2,0)</f>
        <v>#REF!</v>
      </c>
      <c r="K27" s="73" t="e">
        <f t="shared" si="521"/>
        <v>#REF!</v>
      </c>
      <c r="L27" s="73" t="e">
        <f t="shared" si="522"/>
        <v>#REF!</v>
      </c>
      <c r="M27" s="59">
        <v>1297</v>
      </c>
      <c r="N27" s="59">
        <v>117</v>
      </c>
      <c r="O27" s="73">
        <v>2323</v>
      </c>
      <c r="P27" s="59">
        <f t="shared" si="523"/>
        <v>464.60000000000002</v>
      </c>
      <c r="Q27" s="59">
        <f t="shared" si="524"/>
        <v>464.60000000000002</v>
      </c>
      <c r="R27" s="59">
        <f t="shared" si="525"/>
        <v>0</v>
      </c>
      <c r="S27" s="59">
        <f t="shared" si="526"/>
        <v>0</v>
      </c>
      <c r="T27" s="59">
        <f t="shared" si="527"/>
        <v>0</v>
      </c>
      <c r="U27" s="59">
        <f t="shared" si="528"/>
        <v>0</v>
      </c>
      <c r="V27" s="59">
        <v>723</v>
      </c>
      <c r="W27" s="59">
        <f t="shared" ref="W27:W31" si="533">V27*0.2</f>
        <v>144.59999999999999</v>
      </c>
      <c r="X27" s="59">
        <v>36</v>
      </c>
      <c r="Y27" s="59">
        <f t="shared" ref="Y27:Y34" si="534">Z27+AA27+AB27*1.2</f>
        <v>0</v>
      </c>
      <c r="Z27" s="59"/>
      <c r="AA27" s="59"/>
      <c r="AB27" s="59"/>
      <c r="AC27" s="59">
        <v>59</v>
      </c>
      <c r="AD27" s="59">
        <f t="shared" si="529"/>
        <v>113.980101412772</v>
      </c>
      <c r="AE27" s="59">
        <v>11930.32</v>
      </c>
      <c r="AF27" s="62">
        <f t="shared" ref="AF27:AF34" si="535">($AE$64-AE27)/($AE$64-$AE$44)</f>
        <v>0.60161496977579598</v>
      </c>
      <c r="AG27" s="62">
        <f t="shared" ref="AG27:AG34" si="536">(O27+V27)*AF27/10000</f>
        <v>0.183251919793707</v>
      </c>
      <c r="AH27" s="62">
        <f t="shared" ref="AH27:AH31" si="537">AG27*0.2</f>
        <v>3.6650383958741498e-002</v>
      </c>
      <c r="AI27" s="59">
        <f t="shared" ref="AI27:AI34" si="538">AH27/$AH$9*1348663*0.1</f>
        <v>10.9246359985589</v>
      </c>
      <c r="AJ27" s="59"/>
      <c r="AK27" s="59"/>
      <c r="AL27" s="59">
        <v>128.80000000000001</v>
      </c>
      <c r="AM27" s="59">
        <v>7</v>
      </c>
      <c r="AN27" s="62">
        <v>1</v>
      </c>
      <c r="AO27" s="59">
        <f t="shared" ref="AO27:AO34" si="539">(AL27/$AL$9*80000)</f>
        <v>14.507195090263901</v>
      </c>
      <c r="AP27" s="59"/>
      <c r="AQ27" s="59"/>
      <c r="AR27" s="59">
        <v>1450</v>
      </c>
      <c r="AS27" s="59">
        <f t="shared" ref="AS27:AS34" si="540">AR27/$AR$9*50000</f>
        <v>19.8622246513495</v>
      </c>
      <c r="AT27" s="189">
        <v>0.10000000000000001</v>
      </c>
      <c r="AU27" s="59">
        <f t="shared" ref="AU27:AU34" si="541">AT27/$AT$9*50000</f>
        <v>72.610145960915403</v>
      </c>
      <c r="AV27" s="59"/>
      <c r="AW27" s="59"/>
      <c r="AX27" s="59"/>
      <c r="AY27" s="62">
        <v>75.680000000000007</v>
      </c>
      <c r="AZ27" s="62" t="s">
        <v>440</v>
      </c>
      <c r="BA27" s="59"/>
      <c r="BB27" s="59" t="s">
        <v>441</v>
      </c>
      <c r="BC27" s="59">
        <v>800</v>
      </c>
      <c r="BD27" s="62">
        <v>37.916608700476203</v>
      </c>
      <c r="BE27" s="59">
        <f t="shared" ref="BE27:BE34" si="542">BD27/$BD$9*42266</f>
        <v>475.21433873001098</v>
      </c>
      <c r="BF27" s="62" t="e">
        <f>VLOOKUP(B27,'2022年项目库建设情况'!B:O,14,0)</f>
        <v>#N/A</v>
      </c>
      <c r="BG27" s="59" t="e">
        <f t="shared" ref="BG27:BG34" si="543">BF27/$BF$9*1348663*0.025</f>
        <v>#N/A</v>
      </c>
      <c r="BH27" s="53" t="e">
        <f>ROUND(AI27+AD27+#REF!+#REF!+BE27+BG27,0)</f>
        <v>#REF!</v>
      </c>
      <c r="BI27" s="59" t="e">
        <f t="shared" si="530"/>
        <v>#REF!</v>
      </c>
      <c r="BJ27" s="167" t="e">
        <f t="shared" ref="BJ27:BJ34" si="544">BI27/G27</f>
        <v>#REF!</v>
      </c>
      <c r="BK27" s="170">
        <f t="shared" ref="BK27:BK34" si="545">AD27+AI27+AO27+AP27+AS27+AU27+AW27+AX27+BA27+BC27+BE27</f>
        <v>1507.0986418438699</v>
      </c>
      <c r="BL27" s="59">
        <v>1297</v>
      </c>
      <c r="BM27" s="59">
        <f t="shared" si="531"/>
        <v>1177.7558279597999</v>
      </c>
      <c r="BN27" s="59">
        <f t="shared" si="532"/>
        <v>329.34281388407197</v>
      </c>
      <c r="BO27" s="43">
        <f t="shared" si="492"/>
        <v>0.279635902506707</v>
      </c>
    </row>
    <row r="28" s="5" customFormat="1" ht="17" customHeight="1">
      <c r="A28" s="46">
        <v>8</v>
      </c>
      <c r="B28" s="82" t="s">
        <v>69</v>
      </c>
      <c r="C28" s="46" t="s">
        <v>78</v>
      </c>
      <c r="D28" s="46"/>
      <c r="E28" s="46"/>
      <c r="F28" s="46"/>
      <c r="G28" s="73" t="e">
        <f>VLOOKUP(B:B,#REF!,2,0)</f>
        <v>#REF!</v>
      </c>
      <c r="H28" s="73" t="e">
        <f t="shared" si="520"/>
        <v>#REF!</v>
      </c>
      <c r="I28" s="59" t="e">
        <f>VLOOKUP(B28,#REF!,4,0)</f>
        <v>#REF!</v>
      </c>
      <c r="J28" s="59" t="e">
        <f>VLOOKUP(B28,#REF!,2,0)</f>
        <v>#REF!</v>
      </c>
      <c r="K28" s="73" t="e">
        <f t="shared" si="521"/>
        <v>#REF!</v>
      </c>
      <c r="L28" s="73" t="e">
        <f t="shared" si="522"/>
        <v>#REF!</v>
      </c>
      <c r="M28" s="59">
        <v>1346</v>
      </c>
      <c r="N28" s="59">
        <v>143</v>
      </c>
      <c r="O28" s="73">
        <v>1149</v>
      </c>
      <c r="P28" s="59">
        <f t="shared" si="523"/>
        <v>229.80000000000001</v>
      </c>
      <c r="Q28" s="59">
        <f t="shared" si="524"/>
        <v>229.80000000000001</v>
      </c>
      <c r="R28" s="59">
        <f t="shared" si="525"/>
        <v>0</v>
      </c>
      <c r="S28" s="59">
        <f t="shared" si="526"/>
        <v>0</v>
      </c>
      <c r="T28" s="59">
        <f t="shared" si="527"/>
        <v>0</v>
      </c>
      <c r="U28" s="59">
        <f t="shared" si="528"/>
        <v>0</v>
      </c>
      <c r="V28" s="59">
        <v>99</v>
      </c>
      <c r="W28" s="59">
        <f t="shared" si="533"/>
        <v>19.800000000000001</v>
      </c>
      <c r="X28" s="59">
        <v>0</v>
      </c>
      <c r="Y28" s="59">
        <f t="shared" si="534"/>
        <v>0</v>
      </c>
      <c r="Z28" s="59"/>
      <c r="AA28" s="59"/>
      <c r="AB28" s="59"/>
      <c r="AC28" s="59">
        <v>0</v>
      </c>
      <c r="AD28" s="59">
        <f t="shared" si="529"/>
        <v>38.468502396502998</v>
      </c>
      <c r="AE28" s="59">
        <v>14355.059999999999</v>
      </c>
      <c r="AF28" s="62">
        <f t="shared" si="535"/>
        <v>0.21033980848859599</v>
      </c>
      <c r="AG28" s="62">
        <f t="shared" si="536"/>
        <v>2.6250408099376801e-002</v>
      </c>
      <c r="AH28" s="62">
        <f t="shared" si="537"/>
        <v>5.25008161987537e-003</v>
      </c>
      <c r="AI28" s="59">
        <f t="shared" si="538"/>
        <v>1.5649285072819299</v>
      </c>
      <c r="AJ28" s="59"/>
      <c r="AK28" s="59"/>
      <c r="AL28" s="59">
        <v>72</v>
      </c>
      <c r="AM28" s="59"/>
      <c r="AN28" s="62"/>
      <c r="AO28" s="59">
        <f t="shared" si="539"/>
        <v>8.1096121622592996</v>
      </c>
      <c r="AP28" s="59"/>
      <c r="AQ28" s="59"/>
      <c r="AR28" s="59">
        <v>601</v>
      </c>
      <c r="AS28" s="59">
        <f t="shared" si="540"/>
        <v>8.2325496658351902</v>
      </c>
      <c r="AT28" s="189">
        <v>0.13</v>
      </c>
      <c r="AU28" s="59">
        <f t="shared" si="541"/>
        <v>94.3931897491901</v>
      </c>
      <c r="AV28" s="59"/>
      <c r="AW28" s="59"/>
      <c r="AX28" s="59"/>
      <c r="AY28" s="62">
        <v>81.579999999999998</v>
      </c>
      <c r="AZ28" s="62" t="s">
        <v>442</v>
      </c>
      <c r="BA28" s="59">
        <v>500</v>
      </c>
      <c r="BB28" s="59"/>
      <c r="BC28" s="59"/>
      <c r="BD28" s="62">
        <v>45.9945117562024</v>
      </c>
      <c r="BE28" s="59">
        <f t="shared" si="542"/>
        <v>576.45586561012601</v>
      </c>
      <c r="BF28" s="62" t="e">
        <f>VLOOKUP(B28,'2022年项目库建设情况'!B:O,14,0)</f>
        <v>#N/A</v>
      </c>
      <c r="BG28" s="59" t="e">
        <f t="shared" si="543"/>
        <v>#N/A</v>
      </c>
      <c r="BH28" s="53" t="e">
        <f>ROUND(AI28+AD28+#REF!+#REF!+BE28+BG28,0)</f>
        <v>#REF!</v>
      </c>
      <c r="BI28" s="59" t="e">
        <f t="shared" si="530"/>
        <v>#REF!</v>
      </c>
      <c r="BJ28" s="167" t="e">
        <f t="shared" si="544"/>
        <v>#REF!</v>
      </c>
      <c r="BK28" s="170">
        <f t="shared" si="545"/>
        <v>1227.2246480911999</v>
      </c>
      <c r="BL28" s="59">
        <v>1346</v>
      </c>
      <c r="BM28" s="59">
        <f t="shared" si="531"/>
        <v>1222.2508438195</v>
      </c>
      <c r="BN28" s="59">
        <f t="shared" si="532"/>
        <v>4.9738042716980999</v>
      </c>
      <c r="BO28" s="43">
        <f t="shared" si="492"/>
        <v>4.0693809268767698e-003</v>
      </c>
      <c r="BP28" s="4"/>
    </row>
    <row r="29" ht="17" customHeight="1">
      <c r="A29" s="46">
        <v>9</v>
      </c>
      <c r="B29" s="82" t="s">
        <v>73</v>
      </c>
      <c r="C29" s="46" t="s">
        <v>78</v>
      </c>
      <c r="D29" s="46"/>
      <c r="E29" s="46"/>
      <c r="F29" s="46"/>
      <c r="G29" s="73" t="e">
        <f>VLOOKUP(B:B,#REF!,2,0)</f>
        <v>#REF!</v>
      </c>
      <c r="H29" s="73" t="e">
        <f t="shared" si="520"/>
        <v>#REF!</v>
      </c>
      <c r="I29" s="59" t="e">
        <f>VLOOKUP(B29,#REF!,4,0)</f>
        <v>#REF!</v>
      </c>
      <c r="J29" s="59" t="e">
        <f>VLOOKUP(B29,#REF!,2,0)</f>
        <v>#REF!</v>
      </c>
      <c r="K29" s="73" t="e">
        <f t="shared" si="521"/>
        <v>#REF!</v>
      </c>
      <c r="L29" s="73" t="e">
        <f t="shared" si="522"/>
        <v>#REF!</v>
      </c>
      <c r="M29" s="59">
        <v>1231</v>
      </c>
      <c r="N29" s="59">
        <v>117</v>
      </c>
      <c r="O29" s="73">
        <v>3781</v>
      </c>
      <c r="P29" s="59">
        <f t="shared" si="523"/>
        <v>756.20000000000005</v>
      </c>
      <c r="Q29" s="59">
        <f t="shared" si="524"/>
        <v>756.20000000000005</v>
      </c>
      <c r="R29" s="59">
        <f t="shared" si="525"/>
        <v>0</v>
      </c>
      <c r="S29" s="59">
        <f t="shared" si="526"/>
        <v>0</v>
      </c>
      <c r="T29" s="59">
        <f t="shared" si="527"/>
        <v>0</v>
      </c>
      <c r="U29" s="59">
        <f t="shared" si="528"/>
        <v>0</v>
      </c>
      <c r="V29" s="59">
        <v>1179</v>
      </c>
      <c r="W29" s="59">
        <f t="shared" si="533"/>
        <v>235.80000000000001</v>
      </c>
      <c r="X29" s="59">
        <v>18</v>
      </c>
      <c r="Y29" s="59">
        <f t="shared" si="534"/>
        <v>0</v>
      </c>
      <c r="Z29" s="59"/>
      <c r="AA29" s="59"/>
      <c r="AB29" s="59"/>
      <c r="AC29" s="59">
        <v>0</v>
      </c>
      <c r="AD29" s="59">
        <f t="shared" si="529"/>
        <v>158.82306308776401</v>
      </c>
      <c r="AE29" s="59">
        <v>11272.93</v>
      </c>
      <c r="AF29" s="62">
        <f t="shared" si="535"/>
        <v>0.70769660256058597</v>
      </c>
      <c r="AG29" s="62">
        <f t="shared" si="536"/>
        <v>0.35101751487005101</v>
      </c>
      <c r="AH29" s="62">
        <f t="shared" si="537"/>
        <v>7.0203502974010096e-002</v>
      </c>
      <c r="AI29" s="59">
        <f t="shared" si="538"/>
        <v>20.926048596876601</v>
      </c>
      <c r="AJ29" s="59"/>
      <c r="AK29" s="59"/>
      <c r="AL29" s="59">
        <v>234.90000000000001</v>
      </c>
      <c r="AM29" s="59">
        <v>38</v>
      </c>
      <c r="AN29" s="62">
        <v>1</v>
      </c>
      <c r="AO29" s="59">
        <f t="shared" si="539"/>
        <v>26.457609679371</v>
      </c>
      <c r="AP29" s="59"/>
      <c r="AQ29" s="59"/>
      <c r="AR29" s="59">
        <v>2125</v>
      </c>
      <c r="AS29" s="59">
        <f t="shared" si="540"/>
        <v>29.108432678701799</v>
      </c>
      <c r="AT29" s="189">
        <v>0.14999999999999999</v>
      </c>
      <c r="AU29" s="59">
        <f t="shared" si="541"/>
        <v>108.915218941373</v>
      </c>
      <c r="AV29" s="59"/>
      <c r="AW29" s="59"/>
      <c r="AX29" s="59"/>
      <c r="AY29" s="62">
        <v>71.969999999999999</v>
      </c>
      <c r="AZ29" s="62" t="s">
        <v>440</v>
      </c>
      <c r="BA29" s="59"/>
      <c r="BB29" s="59" t="s">
        <v>443</v>
      </c>
      <c r="BC29" s="59"/>
      <c r="BD29" s="62">
        <v>4.3073969554512703e-002</v>
      </c>
      <c r="BE29" s="59">
        <f t="shared" si="542"/>
        <v>0.53985228795177898</v>
      </c>
      <c r="BF29" s="62" t="e">
        <f>VLOOKUP(B29,'2022年项目库建设情况'!B:O,14,0)</f>
        <v>#N/A</v>
      </c>
      <c r="BG29" s="59" t="e">
        <f t="shared" si="543"/>
        <v>#N/A</v>
      </c>
      <c r="BH29" s="53" t="e">
        <f>ROUND(AI29+AD29+#REF!+#REF!+BE29+BG29,0)</f>
        <v>#REF!</v>
      </c>
      <c r="BI29" s="59" t="e">
        <f t="shared" si="530"/>
        <v>#REF!</v>
      </c>
      <c r="BJ29" s="167" t="e">
        <f t="shared" si="544"/>
        <v>#REF!</v>
      </c>
      <c r="BK29" s="170">
        <f t="shared" si="545"/>
        <v>344.77022527203798</v>
      </c>
      <c r="BL29" s="59">
        <v>1231</v>
      </c>
      <c r="BM29" s="59">
        <f t="shared" si="531"/>
        <v>1117.82376578143</v>
      </c>
      <c r="BN29" s="59">
        <f t="shared" si="532"/>
        <v>-773.05354050939002</v>
      </c>
      <c r="BO29" s="43">
        <f t="shared" si="492"/>
        <v>-0.69157014206884204</v>
      </c>
    </row>
    <row r="30" ht="17" customHeight="1">
      <c r="A30" s="46">
        <v>10</v>
      </c>
      <c r="B30" s="82" t="s">
        <v>75</v>
      </c>
      <c r="C30" s="46" t="s">
        <v>78</v>
      </c>
      <c r="D30" s="46"/>
      <c r="E30" s="46"/>
      <c r="F30" s="46"/>
      <c r="G30" s="73" t="e">
        <f>VLOOKUP(B:B,#REF!,2,0)</f>
        <v>#REF!</v>
      </c>
      <c r="H30" s="73" t="e">
        <f t="shared" si="520"/>
        <v>#REF!</v>
      </c>
      <c r="I30" s="59" t="e">
        <f>VLOOKUP(B30,#REF!,4,0)</f>
        <v>#REF!</v>
      </c>
      <c r="J30" s="59" t="e">
        <f>VLOOKUP(B30,#REF!,2,0)</f>
        <v>#REF!</v>
      </c>
      <c r="K30" s="73" t="e">
        <f t="shared" si="521"/>
        <v>#REF!</v>
      </c>
      <c r="L30" s="73" t="e">
        <f t="shared" si="522"/>
        <v>#REF!</v>
      </c>
      <c r="M30" s="59">
        <v>1125</v>
      </c>
      <c r="N30" s="59">
        <v>121</v>
      </c>
      <c r="O30" s="73">
        <v>3751</v>
      </c>
      <c r="P30" s="59">
        <f t="shared" si="523"/>
        <v>750.20000000000005</v>
      </c>
      <c r="Q30" s="59">
        <f t="shared" si="524"/>
        <v>750.20000000000005</v>
      </c>
      <c r="R30" s="59">
        <f t="shared" si="525"/>
        <v>0</v>
      </c>
      <c r="S30" s="59">
        <f t="shared" si="526"/>
        <v>0</v>
      </c>
      <c r="T30" s="59">
        <f t="shared" si="527"/>
        <v>0</v>
      </c>
      <c r="U30" s="59">
        <f t="shared" si="528"/>
        <v>0</v>
      </c>
      <c r="V30" s="59">
        <v>362</v>
      </c>
      <c r="W30" s="59">
        <f t="shared" si="533"/>
        <v>72.400000000000006</v>
      </c>
      <c r="X30" s="59">
        <v>0</v>
      </c>
      <c r="Y30" s="59">
        <f t="shared" si="534"/>
        <v>0</v>
      </c>
      <c r="Z30" s="59"/>
      <c r="AA30" s="59"/>
      <c r="AB30" s="59"/>
      <c r="AC30" s="59">
        <v>108</v>
      </c>
      <c r="AD30" s="59">
        <f t="shared" si="529"/>
        <v>152.49555653888899</v>
      </c>
      <c r="AE30" s="59">
        <v>12043.469999999999</v>
      </c>
      <c r="AF30" s="62">
        <f t="shared" si="535"/>
        <v>0.58335619378346404</v>
      </c>
      <c r="AG30" s="62">
        <f t="shared" si="536"/>
        <v>0.23993440250313899</v>
      </c>
      <c r="AH30" s="62">
        <f t="shared" si="537"/>
        <v>4.7986880500627702e-002</v>
      </c>
      <c r="AI30" s="59">
        <f t="shared" si="538"/>
        <v>14.3037847233976</v>
      </c>
      <c r="AJ30" s="59"/>
      <c r="AK30" s="59"/>
      <c r="AL30" s="59">
        <v>382.06</v>
      </c>
      <c r="AM30" s="59">
        <v>16</v>
      </c>
      <c r="AN30" s="62">
        <v>1</v>
      </c>
      <c r="AO30" s="59">
        <f t="shared" si="539"/>
        <v>43.032755871010899</v>
      </c>
      <c r="AP30" s="59"/>
      <c r="AQ30" s="59"/>
      <c r="AR30" s="59">
        <v>1558</v>
      </c>
      <c r="AS30" s="59">
        <f t="shared" si="540"/>
        <v>21.3416179357258</v>
      </c>
      <c r="AT30" s="189">
        <v>0.13</v>
      </c>
      <c r="AU30" s="59">
        <f t="shared" si="541"/>
        <v>94.3931897491901</v>
      </c>
      <c r="AV30" s="59"/>
      <c r="AW30" s="59"/>
      <c r="AX30" s="59"/>
      <c r="AY30" s="62">
        <v>70.379999999999995</v>
      </c>
      <c r="AZ30" s="62" t="s">
        <v>440</v>
      </c>
      <c r="BA30" s="59"/>
      <c r="BB30" s="59" t="s">
        <v>441</v>
      </c>
      <c r="BC30" s="59">
        <v>800</v>
      </c>
      <c r="BD30" s="62">
        <v>36.5821608558892</v>
      </c>
      <c r="BE30" s="59">
        <f t="shared" si="542"/>
        <v>458.48951096272401</v>
      </c>
      <c r="BF30" s="62" t="e">
        <f>VLOOKUP(B30,'2022年项目库建设情况'!B:O,14,0)</f>
        <v>#N/A</v>
      </c>
      <c r="BG30" s="59" t="e">
        <f t="shared" si="543"/>
        <v>#N/A</v>
      </c>
      <c r="BH30" s="53" t="e">
        <f>ROUND(AI30+AD30+#REF!+#REF!+BE30+BG30,0)</f>
        <v>#REF!</v>
      </c>
      <c r="BI30" s="59" t="e">
        <f t="shared" si="530"/>
        <v>#REF!</v>
      </c>
      <c r="BJ30" s="167" t="e">
        <f t="shared" si="544"/>
        <v>#REF!</v>
      </c>
      <c r="BK30" s="170">
        <f t="shared" si="545"/>
        <v>1584.0564157809399</v>
      </c>
      <c r="BL30" s="59">
        <v>1125</v>
      </c>
      <c r="BM30" s="59">
        <f t="shared" si="531"/>
        <v>1021.56924167677</v>
      </c>
      <c r="BN30" s="59">
        <f t="shared" si="532"/>
        <v>562.48717410416498</v>
      </c>
      <c r="BO30" s="43">
        <f t="shared" si="492"/>
        <v>0.55061091422537001</v>
      </c>
    </row>
    <row r="31" ht="17" customHeight="1">
      <c r="A31" s="46">
        <v>11</v>
      </c>
      <c r="B31" s="82" t="s">
        <v>77</v>
      </c>
      <c r="C31" s="46" t="s">
        <v>78</v>
      </c>
      <c r="D31" s="46"/>
      <c r="E31" s="46"/>
      <c r="F31" s="46"/>
      <c r="G31" s="73" t="e">
        <f>VLOOKUP(B:B,#REF!,2,0)</f>
        <v>#REF!</v>
      </c>
      <c r="H31" s="73" t="e">
        <f t="shared" si="520"/>
        <v>#REF!</v>
      </c>
      <c r="I31" s="59" t="e">
        <f>VLOOKUP(B31,#REF!,4,0)</f>
        <v>#REF!</v>
      </c>
      <c r="J31" s="59" t="e">
        <f>VLOOKUP(B31,#REF!,2,0)</f>
        <v>#REF!</v>
      </c>
      <c r="K31" s="73" t="e">
        <f t="shared" si="521"/>
        <v>#REF!</v>
      </c>
      <c r="L31" s="73" t="e">
        <f t="shared" si="522"/>
        <v>#REF!</v>
      </c>
      <c r="M31" s="59">
        <v>1456</v>
      </c>
      <c r="N31" s="59">
        <v>176</v>
      </c>
      <c r="O31" s="73">
        <v>3050</v>
      </c>
      <c r="P31" s="59">
        <f t="shared" si="523"/>
        <v>610</v>
      </c>
      <c r="Q31" s="59">
        <f t="shared" si="524"/>
        <v>610</v>
      </c>
      <c r="R31" s="59">
        <f t="shared" si="525"/>
        <v>0</v>
      </c>
      <c r="S31" s="59">
        <f t="shared" si="526"/>
        <v>0</v>
      </c>
      <c r="T31" s="59">
        <f t="shared" si="527"/>
        <v>0</v>
      </c>
      <c r="U31" s="59">
        <f t="shared" si="528"/>
        <v>0</v>
      </c>
      <c r="V31" s="59">
        <v>501</v>
      </c>
      <c r="W31" s="59">
        <f t="shared" si="533"/>
        <v>100.2</v>
      </c>
      <c r="X31" s="59">
        <v>251</v>
      </c>
      <c r="Y31" s="59">
        <f t="shared" si="534"/>
        <v>0</v>
      </c>
      <c r="Z31" s="59"/>
      <c r="AA31" s="59"/>
      <c r="AB31" s="59"/>
      <c r="AC31" s="59">
        <v>0</v>
      </c>
      <c r="AD31" s="59">
        <f t="shared" si="529"/>
        <v>135.806882529207</v>
      </c>
      <c r="AE31" s="59">
        <v>11206.99</v>
      </c>
      <c r="AF31" s="62">
        <f t="shared" si="535"/>
        <v>0.71833720078360297</v>
      </c>
      <c r="AG31" s="62">
        <f t="shared" si="536"/>
        <v>0.255081539998257</v>
      </c>
      <c r="AH31" s="62">
        <f t="shared" si="537"/>
        <v>5.1016307999651497e-002</v>
      </c>
      <c r="AI31" s="59">
        <f t="shared" si="538"/>
        <v>15.2067873426366</v>
      </c>
      <c r="AJ31" s="59"/>
      <c r="AK31" s="59"/>
      <c r="AL31" s="59">
        <v>443</v>
      </c>
      <c r="AM31" s="59">
        <v>8</v>
      </c>
      <c r="AN31" s="62">
        <v>0.99404761904761896</v>
      </c>
      <c r="AO31" s="59">
        <f t="shared" si="539"/>
        <v>49.896641498345403</v>
      </c>
      <c r="AP31" s="59"/>
      <c r="AQ31" s="59"/>
      <c r="AR31" s="59">
        <v>1609</v>
      </c>
      <c r="AS31" s="59">
        <f t="shared" si="540"/>
        <v>22.040220320014701</v>
      </c>
      <c r="AT31" s="189">
        <v>0.13</v>
      </c>
      <c r="AU31" s="59">
        <f t="shared" si="541"/>
        <v>94.3931897491901</v>
      </c>
      <c r="AV31" s="59"/>
      <c r="AW31" s="59"/>
      <c r="AX31" s="59"/>
      <c r="AY31" s="62">
        <v>81.930000000000007</v>
      </c>
      <c r="AZ31" s="62" t="s">
        <v>442</v>
      </c>
      <c r="BA31" s="59">
        <v>500</v>
      </c>
      <c r="BB31" s="59" t="s">
        <v>441</v>
      </c>
      <c r="BC31" s="59">
        <v>800</v>
      </c>
      <c r="BD31" s="62">
        <v>37.983321953026298</v>
      </c>
      <c r="BE31" s="59">
        <f t="shared" si="542"/>
        <v>476.05046556945399</v>
      </c>
      <c r="BF31" s="62" t="e">
        <f>VLOOKUP(B31,'2022年项目库建设情况'!B:O,14,0)</f>
        <v>#N/A</v>
      </c>
      <c r="BG31" s="59" t="e">
        <f t="shared" si="543"/>
        <v>#N/A</v>
      </c>
      <c r="BH31" s="53" t="e">
        <f>ROUND(AI31+AD31+#REF!+#REF!+BE31+BG31,0)</f>
        <v>#REF!</v>
      </c>
      <c r="BI31" s="59" t="e">
        <f t="shared" si="530"/>
        <v>#REF!</v>
      </c>
      <c r="BJ31" s="167" t="e">
        <f t="shared" si="544"/>
        <v>#REF!</v>
      </c>
      <c r="BK31" s="170">
        <f t="shared" si="545"/>
        <v>2093.3941870088502</v>
      </c>
      <c r="BL31" s="59">
        <v>1456</v>
      </c>
      <c r="BM31" s="59">
        <f t="shared" si="531"/>
        <v>1322.13761411678</v>
      </c>
      <c r="BN31" s="59">
        <f t="shared" si="532"/>
        <v>771.25657289206595</v>
      </c>
      <c r="BO31" s="43">
        <f t="shared" si="492"/>
        <v>0.58334061799405301</v>
      </c>
    </row>
    <row r="32" ht="17" customHeight="1">
      <c r="A32" s="46">
        <v>12</v>
      </c>
      <c r="B32" s="82" t="s">
        <v>79</v>
      </c>
      <c r="C32" s="46" t="s">
        <v>90</v>
      </c>
      <c r="D32" s="46">
        <v>2018</v>
      </c>
      <c r="E32" s="46" t="s">
        <v>91</v>
      </c>
      <c r="F32" s="46"/>
      <c r="G32" s="73" t="e">
        <f>VLOOKUP(B:B,#REF!,2,0)</f>
        <v>#REF!</v>
      </c>
      <c r="H32" s="73" t="e">
        <f t="shared" si="520"/>
        <v>#REF!</v>
      </c>
      <c r="I32" s="59" t="e">
        <f>VLOOKUP(B32,#REF!,4,0)</f>
        <v>#REF!</v>
      </c>
      <c r="J32" s="59" t="e">
        <f>VLOOKUP(B32,#REF!,2,0)</f>
        <v>#REF!</v>
      </c>
      <c r="K32" s="73" t="e">
        <f t="shared" si="521"/>
        <v>#REF!</v>
      </c>
      <c r="L32" s="73" t="e">
        <f t="shared" si="522"/>
        <v>#REF!</v>
      </c>
      <c r="M32" s="59">
        <v>13982</v>
      </c>
      <c r="N32" s="59">
        <v>1348</v>
      </c>
      <c r="O32" s="73">
        <v>81053</v>
      </c>
      <c r="P32" s="59">
        <f t="shared" si="523"/>
        <v>48631.800000000003</v>
      </c>
      <c r="Q32" s="59">
        <f t="shared" si="524"/>
        <v>0</v>
      </c>
      <c r="R32" s="59">
        <f t="shared" si="525"/>
        <v>0</v>
      </c>
      <c r="S32" s="59">
        <f t="shared" si="526"/>
        <v>48631.800000000003</v>
      </c>
      <c r="T32" s="59">
        <f t="shared" si="527"/>
        <v>0</v>
      </c>
      <c r="U32" s="59">
        <f t="shared" si="528"/>
        <v>0</v>
      </c>
      <c r="V32" s="59">
        <v>7206</v>
      </c>
      <c r="W32" s="59">
        <f t="shared" ref="W32:W34" si="546">V32*1</f>
        <v>7206</v>
      </c>
      <c r="X32" s="59">
        <v>1833</v>
      </c>
      <c r="Y32" s="59">
        <f t="shared" si="534"/>
        <v>0</v>
      </c>
      <c r="Z32" s="59"/>
      <c r="AA32" s="59"/>
      <c r="AB32" s="59"/>
      <c r="AC32" s="59">
        <v>1604</v>
      </c>
      <c r="AD32" s="59">
        <f t="shared" si="529"/>
        <v>4312.6795852656596</v>
      </c>
      <c r="AE32" s="59">
        <v>10536.059999999999</v>
      </c>
      <c r="AF32" s="62">
        <f t="shared" si="535"/>
        <v>0.82660375470790803</v>
      </c>
      <c r="AG32" s="62">
        <f t="shared" si="536"/>
        <v>7.2955220786765302</v>
      </c>
      <c r="AH32" s="62">
        <f t="shared" ref="AH32:AH34" si="547">AG32*1</f>
        <v>7.2955220786765302</v>
      </c>
      <c r="AI32" s="59">
        <f t="shared" si="538"/>
        <v>2174.62723497557</v>
      </c>
      <c r="AJ32" s="59">
        <f t="shared" ref="AJ32:AJ34" si="548">P32</f>
        <v>48631.800000000003</v>
      </c>
      <c r="AK32" s="59">
        <f t="shared" ref="AK32:AK34" si="549">AJ32/$AJ$9*2859</f>
        <v>34.598870755229001</v>
      </c>
      <c r="AL32" s="59">
        <v>23053.16</v>
      </c>
      <c r="AM32" s="59">
        <v>27</v>
      </c>
      <c r="AN32" s="62">
        <v>0.91668337275971301</v>
      </c>
      <c r="AO32" s="59">
        <f t="shared" si="539"/>
        <v>2596.55814881263</v>
      </c>
      <c r="AP32" s="59">
        <v>3000</v>
      </c>
      <c r="AQ32" s="59"/>
      <c r="AR32" s="59">
        <v>42477</v>
      </c>
      <c r="AS32" s="59">
        <f t="shared" si="540"/>
        <v>581.85359759680796</v>
      </c>
      <c r="AT32" s="189">
        <v>0.5</v>
      </c>
      <c r="AU32" s="59">
        <f t="shared" si="541"/>
        <v>363.05072980457697</v>
      </c>
      <c r="AV32" s="59">
        <v>2</v>
      </c>
      <c r="AW32" s="59">
        <f t="shared" ref="AW28:AW34" si="550">AV32*1000</f>
        <v>2000</v>
      </c>
      <c r="AX32" s="59"/>
      <c r="AY32" s="62">
        <v>85.920000000000002</v>
      </c>
      <c r="AZ32" s="62" t="s">
        <v>442</v>
      </c>
      <c r="BA32" s="59">
        <v>800</v>
      </c>
      <c r="BB32" s="59" t="s">
        <v>443</v>
      </c>
      <c r="BC32" s="59"/>
      <c r="BD32" s="62">
        <v>14.7214690304153</v>
      </c>
      <c r="BE32" s="59">
        <f t="shared" si="542"/>
        <v>184.50629975078101</v>
      </c>
      <c r="BF32" s="62" t="e">
        <f>VLOOKUP(B32,'2022年项目库建设情况'!B:O,14,0)</f>
        <v>#N/A</v>
      </c>
      <c r="BG32" s="59" t="e">
        <f t="shared" si="543"/>
        <v>#N/A</v>
      </c>
      <c r="BH32" s="53" t="e">
        <f>ROUND(AI32+AD32+#REF!+#REF!+BE32+BG32,0)</f>
        <v>#REF!</v>
      </c>
      <c r="BI32" s="59" t="e">
        <f t="shared" si="530"/>
        <v>#REF!</v>
      </c>
      <c r="BJ32" s="167" t="e">
        <f t="shared" si="544"/>
        <v>#REF!</v>
      </c>
      <c r="BK32" s="170">
        <f t="shared" si="545"/>
        <v>16013.275596206</v>
      </c>
      <c r="BL32" s="59">
        <v>13982</v>
      </c>
      <c r="BM32" s="59">
        <f t="shared" si="531"/>
        <v>12696.516566333001</v>
      </c>
      <c r="BN32" s="59">
        <f t="shared" si="532"/>
        <v>3316.7590298730302</v>
      </c>
      <c r="BO32" s="43">
        <f t="shared" si="492"/>
        <v>0.26123378113552698</v>
      </c>
    </row>
    <row r="33" s="84" customFormat="1" ht="17" customHeight="1">
      <c r="A33" s="85">
        <v>13</v>
      </c>
      <c r="B33" s="86" t="s">
        <v>65</v>
      </c>
      <c r="C33" s="85" t="s">
        <v>93</v>
      </c>
      <c r="D33" s="85">
        <v>2018</v>
      </c>
      <c r="E33" s="46" t="s">
        <v>94</v>
      </c>
      <c r="F33" s="46"/>
      <c r="G33" s="73" t="e">
        <f>VLOOKUP(B:B,#REF!,2,0)</f>
        <v>#REF!</v>
      </c>
      <c r="H33" s="73" t="e">
        <f t="shared" si="520"/>
        <v>#REF!</v>
      </c>
      <c r="I33" s="59" t="e">
        <f>VLOOKUP(B33,#REF!,4,0)</f>
        <v>#REF!</v>
      </c>
      <c r="J33" s="59" t="e">
        <f>VLOOKUP(B33,#REF!,2,0)</f>
        <v>#REF!</v>
      </c>
      <c r="K33" s="73" t="e">
        <f t="shared" si="521"/>
        <v>#REF!</v>
      </c>
      <c r="L33" s="73" t="e">
        <f t="shared" si="522"/>
        <v>#REF!</v>
      </c>
      <c r="M33" s="59">
        <v>23689</v>
      </c>
      <c r="N33" s="59">
        <v>5338</v>
      </c>
      <c r="O33" s="73">
        <v>93751</v>
      </c>
      <c r="P33" s="59">
        <f t="shared" si="523"/>
        <v>56250.599999999999</v>
      </c>
      <c r="Q33" s="59">
        <f t="shared" si="524"/>
        <v>0</v>
      </c>
      <c r="R33" s="59">
        <f t="shared" si="525"/>
        <v>0</v>
      </c>
      <c r="S33" s="59">
        <f t="shared" si="526"/>
        <v>56250.599999999999</v>
      </c>
      <c r="T33" s="59">
        <f t="shared" si="527"/>
        <v>0</v>
      </c>
      <c r="U33" s="59">
        <f t="shared" si="528"/>
        <v>0</v>
      </c>
      <c r="V33" s="59">
        <v>14284</v>
      </c>
      <c r="W33" s="59">
        <f t="shared" si="546"/>
        <v>14284</v>
      </c>
      <c r="X33" s="59">
        <v>18112</v>
      </c>
      <c r="Y33" s="59">
        <f t="shared" si="534"/>
        <v>11852</v>
      </c>
      <c r="Z33" s="59"/>
      <c r="AA33" s="59">
        <v>11852</v>
      </c>
      <c r="AB33" s="59"/>
      <c r="AC33" s="59">
        <v>2108</v>
      </c>
      <c r="AD33" s="59">
        <f t="shared" si="529"/>
        <v>7714.2717517370002</v>
      </c>
      <c r="AE33" s="59">
        <v>9665.8299999999999</v>
      </c>
      <c r="AF33" s="62">
        <f t="shared" si="535"/>
        <v>0.96703092776850796</v>
      </c>
      <c r="AG33" s="62">
        <f t="shared" si="536"/>
        <v>10.4473186281471</v>
      </c>
      <c r="AH33" s="62">
        <f t="shared" si="547"/>
        <v>10.4473186281471</v>
      </c>
      <c r="AI33" s="59">
        <f t="shared" si="538"/>
        <v>3114.1052519928398</v>
      </c>
      <c r="AJ33" s="59">
        <f t="shared" si="548"/>
        <v>56250.599999999999</v>
      </c>
      <c r="AK33" s="59">
        <f t="shared" si="549"/>
        <v>40.019231023817497</v>
      </c>
      <c r="AL33" s="59">
        <v>10971.8547</v>
      </c>
      <c r="AM33" s="59">
        <v>69</v>
      </c>
      <c r="AN33" s="62">
        <v>0.99413446189256405</v>
      </c>
      <c r="AO33" s="59">
        <f t="shared" si="539"/>
        <v>1235.7984210786401</v>
      </c>
      <c r="AP33" s="59"/>
      <c r="AQ33" s="59"/>
      <c r="AR33" s="59">
        <v>54985</v>
      </c>
      <c r="AS33" s="59">
        <f t="shared" si="540"/>
        <v>753.18925686513796</v>
      </c>
      <c r="AT33" s="189">
        <v>0.56999999999999995</v>
      </c>
      <c r="AU33" s="59">
        <f t="shared" si="541"/>
        <v>413.87783197721802</v>
      </c>
      <c r="AV33" s="59">
        <v>2</v>
      </c>
      <c r="AW33" s="59">
        <f t="shared" si="550"/>
        <v>2000</v>
      </c>
      <c r="AX33" s="59">
        <v>4014</v>
      </c>
      <c r="AY33" s="62">
        <v>81.359999999999999</v>
      </c>
      <c r="AZ33" s="62" t="s">
        <v>442</v>
      </c>
      <c r="BA33" s="59">
        <v>800</v>
      </c>
      <c r="BB33" s="59" t="s">
        <v>441</v>
      </c>
      <c r="BC33" s="59">
        <v>1000</v>
      </c>
      <c r="BD33" s="62">
        <v>37.134175776195796</v>
      </c>
      <c r="BE33" s="59">
        <f t="shared" si="542"/>
        <v>465.40799376784099</v>
      </c>
      <c r="BF33" s="62" t="e">
        <f>VLOOKUP(B33,'2022年项目库建设情况'!B:O,14,0)</f>
        <v>#N/A</v>
      </c>
      <c r="BG33" s="59" t="e">
        <f t="shared" si="543"/>
        <v>#N/A</v>
      </c>
      <c r="BH33" s="53" t="e">
        <f>ROUND(AI33+AD33+#REF!+#REF!+BE33+BG33,0)</f>
        <v>#REF!</v>
      </c>
      <c r="BI33" s="59" t="e">
        <f t="shared" si="530"/>
        <v>#REF!</v>
      </c>
      <c r="BJ33" s="167" t="e">
        <f t="shared" si="544"/>
        <v>#REF!</v>
      </c>
      <c r="BK33" s="170">
        <f t="shared" si="545"/>
        <v>21510.650507418701</v>
      </c>
      <c r="BL33" s="59">
        <v>23689</v>
      </c>
      <c r="BM33" s="59">
        <f t="shared" si="531"/>
        <v>21511.070014294299</v>
      </c>
      <c r="BN33" s="59">
        <f t="shared" si="532"/>
        <v>-0.41950687559801703</v>
      </c>
      <c r="BO33" s="43">
        <f t="shared" si="492"/>
        <v>-1.9501906475096399e-005</v>
      </c>
      <c r="BP33" s="4"/>
    </row>
    <row r="34" ht="17" customHeight="1">
      <c r="A34" s="46">
        <v>14</v>
      </c>
      <c r="B34" s="82" t="s">
        <v>80</v>
      </c>
      <c r="C34" s="46" t="s">
        <v>90</v>
      </c>
      <c r="D34" s="46">
        <v>2017</v>
      </c>
      <c r="E34" s="46" t="s">
        <v>91</v>
      </c>
      <c r="F34" s="46"/>
      <c r="G34" s="73" t="e">
        <f>VLOOKUP(B:B,#REF!,2,0)</f>
        <v>#REF!</v>
      </c>
      <c r="H34" s="73" t="e">
        <f t="shared" si="520"/>
        <v>#REF!</v>
      </c>
      <c r="I34" s="59" t="e">
        <f>VLOOKUP(B34,#REF!,4,0)</f>
        <v>#REF!</v>
      </c>
      <c r="J34" s="59" t="e">
        <f>VLOOKUP(B34,#REF!,2,0)</f>
        <v>#REF!</v>
      </c>
      <c r="K34" s="73" t="e">
        <f t="shared" si="521"/>
        <v>#REF!</v>
      </c>
      <c r="L34" s="73" t="e">
        <f t="shared" si="522"/>
        <v>#REF!</v>
      </c>
      <c r="M34" s="59">
        <v>14721</v>
      </c>
      <c r="N34" s="59">
        <v>1962</v>
      </c>
      <c r="O34" s="73">
        <v>122405</v>
      </c>
      <c r="P34" s="59">
        <f t="shared" si="523"/>
        <v>48962</v>
      </c>
      <c r="Q34" s="59">
        <f t="shared" si="524"/>
        <v>0</v>
      </c>
      <c r="R34" s="59">
        <f t="shared" si="525"/>
        <v>48962</v>
      </c>
      <c r="S34" s="59">
        <f t="shared" si="526"/>
        <v>0</v>
      </c>
      <c r="T34" s="59">
        <f t="shared" si="527"/>
        <v>0</v>
      </c>
      <c r="U34" s="59">
        <f t="shared" si="528"/>
        <v>0</v>
      </c>
      <c r="V34" s="59">
        <v>6832</v>
      </c>
      <c r="W34" s="59">
        <f t="shared" si="546"/>
        <v>6832</v>
      </c>
      <c r="X34" s="59">
        <v>2841</v>
      </c>
      <c r="Y34" s="59">
        <f t="shared" si="534"/>
        <v>0</v>
      </c>
      <c r="Z34" s="59"/>
      <c r="AA34" s="59"/>
      <c r="AB34" s="59"/>
      <c r="AC34" s="59">
        <v>718</v>
      </c>
      <c r="AD34" s="59">
        <f t="shared" si="529"/>
        <v>5395.1568281383397</v>
      </c>
      <c r="AE34" s="59">
        <v>12393.389999999999</v>
      </c>
      <c r="AF34" s="62">
        <f t="shared" si="535"/>
        <v>0.52689034406860102</v>
      </c>
      <c r="AG34" s="62">
        <f t="shared" si="536"/>
        <v>6.8093727396393797</v>
      </c>
      <c r="AH34" s="62">
        <f t="shared" si="547"/>
        <v>6.8093727396393797</v>
      </c>
      <c r="AI34" s="59">
        <f t="shared" si="538"/>
        <v>2029.7173050850799</v>
      </c>
      <c r="AJ34" s="59">
        <f t="shared" si="548"/>
        <v>48962</v>
      </c>
      <c r="AK34" s="59">
        <f t="shared" si="549"/>
        <v>34.833790028695702</v>
      </c>
      <c r="AL34" s="59">
        <v>15602.225</v>
      </c>
      <c r="AM34" s="59">
        <v>37</v>
      </c>
      <c r="AN34" s="62">
        <v>1</v>
      </c>
      <c r="AO34" s="59">
        <f t="shared" si="539"/>
        <v>1757.3332446986999</v>
      </c>
      <c r="AP34" s="59"/>
      <c r="AQ34" s="59"/>
      <c r="AR34" s="59">
        <v>59689</v>
      </c>
      <c r="AS34" s="59">
        <f t="shared" si="540"/>
        <v>817.62505325130905</v>
      </c>
      <c r="AT34" s="189">
        <v>0.5</v>
      </c>
      <c r="AU34" s="59">
        <f t="shared" si="541"/>
        <v>363.05072980457697</v>
      </c>
      <c r="AV34" s="59">
        <v>2</v>
      </c>
      <c r="AW34" s="59">
        <f t="shared" si="550"/>
        <v>2000</v>
      </c>
      <c r="AX34" s="59"/>
      <c r="AY34" s="62">
        <v>84.700000000000003</v>
      </c>
      <c r="AZ34" s="62" t="s">
        <v>442</v>
      </c>
      <c r="BA34" s="59">
        <v>800</v>
      </c>
      <c r="BB34" s="59" t="s">
        <v>441</v>
      </c>
      <c r="BC34" s="59">
        <v>1000</v>
      </c>
      <c r="BD34" s="62">
        <v>13.5000387880287</v>
      </c>
      <c r="BE34" s="59">
        <f t="shared" si="542"/>
        <v>169.197937931669</v>
      </c>
      <c r="BF34" s="62" t="e">
        <f>VLOOKUP(B34,'2022年项目库建设情况'!B:O,14,0)</f>
        <v>#N/A</v>
      </c>
      <c r="BG34" s="59" t="e">
        <f t="shared" si="543"/>
        <v>#N/A</v>
      </c>
      <c r="BH34" s="53" t="e">
        <f>ROUND(AI34+AD34+#REF!+#REF!+BE34+BG34,0)</f>
        <v>#REF!</v>
      </c>
      <c r="BI34" s="59" t="e">
        <f t="shared" si="530"/>
        <v>#REF!</v>
      </c>
      <c r="BJ34" s="167" t="e">
        <f t="shared" si="544"/>
        <v>#REF!</v>
      </c>
      <c r="BK34" s="170">
        <f t="shared" si="545"/>
        <v>14332.081098909701</v>
      </c>
      <c r="BL34" s="59">
        <v>14721</v>
      </c>
      <c r="BM34" s="59">
        <f t="shared" si="531"/>
        <v>13367.574050421101</v>
      </c>
      <c r="BN34" s="59">
        <f t="shared" si="532"/>
        <v>964.50704848854696</v>
      </c>
      <c r="BO34" s="43">
        <f t="shared" si="492"/>
        <v>7.2152736528746805e-002</v>
      </c>
    </row>
    <row r="35" s="64" customFormat="1" ht="17" customHeight="1">
      <c r="A35" s="65"/>
      <c r="B35" s="66" t="s">
        <v>82</v>
      </c>
      <c r="C35" s="67">
        <v>1</v>
      </c>
      <c r="D35" s="67"/>
      <c r="E35" s="67"/>
      <c r="F35" s="68"/>
      <c r="G35" s="69" t="e">
        <f t="shared" ref="G35:M35" si="551">G36+G37</f>
        <v>#REF!</v>
      </c>
      <c r="H35" s="69" t="e">
        <f t="shared" si="551"/>
        <v>#REF!</v>
      </c>
      <c r="I35" s="69" t="e">
        <f t="shared" si="551"/>
        <v>#REF!</v>
      </c>
      <c r="J35" s="69" t="e">
        <f t="shared" si="551"/>
        <v>#REF!</v>
      </c>
      <c r="K35" s="69" t="e">
        <f t="shared" si="551"/>
        <v>#REF!</v>
      </c>
      <c r="L35" s="69" t="e">
        <f t="shared" si="551"/>
        <v>#REF!</v>
      </c>
      <c r="M35" s="69">
        <f t="shared" si="551"/>
        <v>330075</v>
      </c>
      <c r="N35" s="69">
        <v>61716</v>
      </c>
      <c r="O35" s="69">
        <f t="shared" ref="O35:AD35" si="552">O36+O37</f>
        <v>1520677</v>
      </c>
      <c r="P35" s="69">
        <f t="shared" si="552"/>
        <v>1278638</v>
      </c>
      <c r="Q35" s="69">
        <f t="shared" si="552"/>
        <v>2262.1999999999998</v>
      </c>
      <c r="R35" s="69">
        <f t="shared" si="552"/>
        <v>0</v>
      </c>
      <c r="S35" s="69">
        <f t="shared" si="552"/>
        <v>57650.400000000001</v>
      </c>
      <c r="T35" s="69">
        <f t="shared" si="552"/>
        <v>778226.40000000002</v>
      </c>
      <c r="U35" s="69">
        <f t="shared" si="552"/>
        <v>440499</v>
      </c>
      <c r="V35" s="69">
        <f t="shared" si="552"/>
        <v>228865</v>
      </c>
      <c r="W35" s="69">
        <f t="shared" si="552"/>
        <v>228551.39999999999</v>
      </c>
      <c r="X35" s="69">
        <f t="shared" si="552"/>
        <v>306956</v>
      </c>
      <c r="Y35" s="69">
        <f t="shared" si="552"/>
        <v>283048</v>
      </c>
      <c r="Z35" s="69">
        <f t="shared" si="552"/>
        <v>29259</v>
      </c>
      <c r="AA35" s="69">
        <f t="shared" si="552"/>
        <v>173479</v>
      </c>
      <c r="AB35" s="69">
        <f t="shared" si="552"/>
        <v>66925</v>
      </c>
      <c r="AC35" s="69">
        <f t="shared" si="552"/>
        <v>49660</v>
      </c>
      <c r="AD35" s="69">
        <f t="shared" si="552"/>
        <v>129546.88080539599</v>
      </c>
      <c r="AE35" s="69"/>
      <c r="AF35" s="69">
        <f t="shared" ref="AF35:AL35" si="553">AF36+AF37</f>
        <v>9.5793026325556507</v>
      </c>
      <c r="AG35" s="69">
        <f t="shared" si="553"/>
        <v>151.31705237372199</v>
      </c>
      <c r="AH35" s="69">
        <f t="shared" si="553"/>
        <v>150.52321043756501</v>
      </c>
      <c r="AI35" s="69">
        <f t="shared" si="553"/>
        <v>44867.504941177503</v>
      </c>
      <c r="AJ35" s="69">
        <f t="shared" si="553"/>
        <v>1276375.8</v>
      </c>
      <c r="AK35" s="69">
        <f t="shared" si="553"/>
        <v>908.07170080692197</v>
      </c>
      <c r="AL35" s="69">
        <f t="shared" si="553"/>
        <v>164212.370432</v>
      </c>
      <c r="AM35" s="69">
        <v>730</v>
      </c>
      <c r="AN35" s="71">
        <v>9.9106427753936295</v>
      </c>
      <c r="AO35" s="69">
        <f t="shared" ref="AO35:AX35" si="554">AO36+AO37</f>
        <v>18495.814395121899</v>
      </c>
      <c r="AP35" s="69">
        <f t="shared" si="554"/>
        <v>3000</v>
      </c>
      <c r="AQ35" s="69"/>
      <c r="AR35" s="69">
        <f t="shared" si="554"/>
        <v>986051</v>
      </c>
      <c r="AS35" s="69">
        <f t="shared" si="554"/>
        <v>13507.0113653019</v>
      </c>
      <c r="AT35" s="69">
        <f t="shared" si="554"/>
        <v>15.970000000000001</v>
      </c>
      <c r="AU35" s="69">
        <f t="shared" si="554"/>
        <v>11595.840309958199</v>
      </c>
      <c r="AV35" s="69">
        <f t="shared" si="554"/>
        <v>21</v>
      </c>
      <c r="AW35" s="69">
        <f t="shared" si="554"/>
        <v>21000</v>
      </c>
      <c r="AX35" s="69">
        <f t="shared" si="554"/>
        <v>43589</v>
      </c>
      <c r="AY35" s="71"/>
      <c r="AZ35" s="69">
        <f t="shared" ref="AZ35:BK35" si="555">AZ36+AZ37</f>
        <v>0</v>
      </c>
      <c r="BA35" s="69">
        <f t="shared" si="555"/>
        <v>5200</v>
      </c>
      <c r="BB35" s="69"/>
      <c r="BC35" s="69">
        <f t="shared" si="555"/>
        <v>8800</v>
      </c>
      <c r="BD35" s="71">
        <f t="shared" si="555"/>
        <v>234.90430675319001</v>
      </c>
      <c r="BE35" s="69">
        <f t="shared" si="555"/>
        <v>2944.08963840552</v>
      </c>
      <c r="BF35" s="71" t="e">
        <f t="shared" si="555"/>
        <v>#N/A</v>
      </c>
      <c r="BG35" s="69" t="e">
        <f t="shared" si="555"/>
        <v>#N/A</v>
      </c>
      <c r="BH35" s="70" t="e">
        <f t="shared" si="555"/>
        <v>#REF!</v>
      </c>
      <c r="BI35" s="70" t="e">
        <f t="shared" si="555"/>
        <v>#REF!</v>
      </c>
      <c r="BJ35" s="183" t="e">
        <f t="shared" si="555"/>
        <v>#REF!</v>
      </c>
      <c r="BK35" s="184">
        <f t="shared" si="555"/>
        <v>302546.14145536098</v>
      </c>
      <c r="BL35" s="69">
        <v>330075</v>
      </c>
      <c r="BM35" s="184">
        <f>BM36+BM37</f>
        <v>299728.41550796502</v>
      </c>
      <c r="BN35" s="184">
        <f>BN36+BN37</f>
        <v>2817.7259473957502</v>
      </c>
      <c r="BO35" s="43">
        <f t="shared" si="492"/>
        <v>9.4009303142660403e-003</v>
      </c>
      <c r="BP35" s="185"/>
    </row>
    <row r="36" s="5" customFormat="1" ht="17" customHeight="1">
      <c r="A36" s="44"/>
      <c r="B36" s="72" t="s">
        <v>83</v>
      </c>
      <c r="C36" s="46">
        <v>2</v>
      </c>
      <c r="D36" s="46"/>
      <c r="E36" s="46"/>
      <c r="F36" s="46"/>
      <c r="G36" s="73"/>
      <c r="H36" s="73"/>
      <c r="I36" s="73"/>
      <c r="J36" s="73"/>
      <c r="K36" s="73"/>
      <c r="L36" s="73"/>
      <c r="M36" s="73"/>
      <c r="N36" s="73"/>
      <c r="O36" s="73"/>
      <c r="P36" s="59">
        <f t="shared" ref="P36:P48" si="556">SUM(Q36:U36)</f>
        <v>0</v>
      </c>
      <c r="Q36" s="59">
        <f t="shared" ref="Q36:Q48" si="557">IF(D36="",O36*0.2,0)</f>
        <v>0</v>
      </c>
      <c r="R36" s="59">
        <f t="shared" ref="R36:R48" si="558">IF(D36=2017,O36*0.4,0)</f>
        <v>0</v>
      </c>
      <c r="S36" s="59">
        <f t="shared" ref="S36:S48" si="559">IF(D36=2018,O36*0.6,0)</f>
        <v>0</v>
      </c>
      <c r="T36" s="59">
        <f t="shared" ref="T36:T48" si="560">IF(D36=2019,O36*0.8,0)</f>
        <v>0</v>
      </c>
      <c r="U36" s="59">
        <f t="shared" ref="U36:U48" si="561">IF(D36=2020,O36*1,0)</f>
        <v>0</v>
      </c>
      <c r="V36" s="59"/>
      <c r="W36" s="59"/>
      <c r="X36" s="59"/>
      <c r="Y36" s="59">
        <f>T36*0.4+U36*0.6+V36*0.8+X36*1</f>
        <v>0</v>
      </c>
      <c r="Z36" s="59"/>
      <c r="AA36" s="59"/>
      <c r="AB36" s="59"/>
      <c r="AC36" s="59"/>
      <c r="AD36" s="59"/>
      <c r="AE36" s="59"/>
      <c r="AF36" s="62"/>
      <c r="AG36" s="62"/>
      <c r="AH36" s="62"/>
      <c r="AI36" s="59"/>
      <c r="AJ36" s="59"/>
      <c r="AK36" s="59"/>
      <c r="AL36" s="59"/>
      <c r="AM36" s="59"/>
      <c r="AN36" s="62"/>
      <c r="AO36" s="59"/>
      <c r="AP36" s="59"/>
      <c r="AQ36" s="59"/>
      <c r="AR36" s="59"/>
      <c r="AS36" s="59"/>
      <c r="AT36" s="59"/>
      <c r="AU36" s="59"/>
      <c r="AV36" s="59"/>
      <c r="AW36" s="59"/>
      <c r="AX36" s="59"/>
      <c r="AY36" s="62"/>
      <c r="AZ36" s="62"/>
      <c r="BA36" s="59"/>
      <c r="BB36" s="59"/>
      <c r="BC36" s="59"/>
      <c r="BD36" s="62"/>
      <c r="BE36" s="59"/>
      <c r="BF36" s="62"/>
      <c r="BG36" s="59"/>
      <c r="BH36" s="53"/>
      <c r="BI36" s="59"/>
      <c r="BJ36" s="182"/>
      <c r="BK36" s="170"/>
      <c r="BL36" s="73"/>
      <c r="BM36" s="170"/>
      <c r="BN36" s="50"/>
      <c r="BO36" s="43"/>
      <c r="BP36" s="4"/>
    </row>
    <row r="37" s="74" customFormat="1" ht="17" customHeight="1">
      <c r="A37" s="75"/>
      <c r="B37" s="76" t="s">
        <v>76</v>
      </c>
      <c r="C37" s="77">
        <v>3</v>
      </c>
      <c r="D37" s="77"/>
      <c r="E37" s="77"/>
      <c r="F37" s="78"/>
      <c r="G37" s="79" t="e">
        <f t="shared" ref="G37:M37" si="562">SUM(G38:G48)</f>
        <v>#REF!</v>
      </c>
      <c r="H37" s="79" t="e">
        <f t="shared" si="562"/>
        <v>#REF!</v>
      </c>
      <c r="I37" s="79" t="e">
        <f t="shared" si="562"/>
        <v>#REF!</v>
      </c>
      <c r="J37" s="79" t="e">
        <f t="shared" si="562"/>
        <v>#REF!</v>
      </c>
      <c r="K37" s="79" t="e">
        <f t="shared" si="562"/>
        <v>#REF!</v>
      </c>
      <c r="L37" s="79" t="e">
        <f t="shared" si="562"/>
        <v>#REF!</v>
      </c>
      <c r="M37" s="79">
        <f t="shared" si="562"/>
        <v>330075</v>
      </c>
      <c r="N37" s="79">
        <v>61716</v>
      </c>
      <c r="O37" s="79">
        <f t="shared" ref="O37:AD37" si="563">SUM(O38:O48)</f>
        <v>1520677</v>
      </c>
      <c r="P37" s="79">
        <f t="shared" si="563"/>
        <v>1278638</v>
      </c>
      <c r="Q37" s="79">
        <f t="shared" si="563"/>
        <v>2262.1999999999998</v>
      </c>
      <c r="R37" s="79">
        <f t="shared" si="563"/>
        <v>0</v>
      </c>
      <c r="S37" s="79">
        <f t="shared" si="563"/>
        <v>57650.400000000001</v>
      </c>
      <c r="T37" s="79">
        <f t="shared" si="563"/>
        <v>778226.40000000002</v>
      </c>
      <c r="U37" s="79">
        <f t="shared" si="563"/>
        <v>440499</v>
      </c>
      <c r="V37" s="79">
        <f t="shared" si="563"/>
        <v>228865</v>
      </c>
      <c r="W37" s="79">
        <f t="shared" si="563"/>
        <v>228551.39999999999</v>
      </c>
      <c r="X37" s="79">
        <f t="shared" si="563"/>
        <v>306956</v>
      </c>
      <c r="Y37" s="79">
        <f t="shared" si="563"/>
        <v>283048</v>
      </c>
      <c r="Z37" s="79">
        <f t="shared" si="563"/>
        <v>29259</v>
      </c>
      <c r="AA37" s="79">
        <f t="shared" si="563"/>
        <v>173479</v>
      </c>
      <c r="AB37" s="79">
        <f t="shared" si="563"/>
        <v>66925</v>
      </c>
      <c r="AC37" s="79">
        <f t="shared" si="563"/>
        <v>49660</v>
      </c>
      <c r="AD37" s="79">
        <f t="shared" si="563"/>
        <v>129546.88080539599</v>
      </c>
      <c r="AE37" s="79"/>
      <c r="AF37" s="79">
        <f t="shared" ref="AF37:AL37" si="564">SUM(AF38:AF48)</f>
        <v>9.5793026325556507</v>
      </c>
      <c r="AG37" s="79">
        <f t="shared" si="564"/>
        <v>151.31705237372199</v>
      </c>
      <c r="AH37" s="79">
        <f t="shared" si="564"/>
        <v>150.52321043756501</v>
      </c>
      <c r="AI37" s="79">
        <f t="shared" si="564"/>
        <v>44867.504941177503</v>
      </c>
      <c r="AJ37" s="79">
        <f t="shared" si="564"/>
        <v>1276375.8</v>
      </c>
      <c r="AK37" s="79">
        <f t="shared" si="564"/>
        <v>908.07170080692197</v>
      </c>
      <c r="AL37" s="79">
        <f t="shared" si="564"/>
        <v>164212.370432</v>
      </c>
      <c r="AM37" s="79">
        <v>730</v>
      </c>
      <c r="AN37" s="81">
        <v>9.9106427753936295</v>
      </c>
      <c r="AO37" s="79">
        <f t="shared" ref="AO37:AX37" si="565">SUM(AO38:AO48)</f>
        <v>18495.814395121899</v>
      </c>
      <c r="AP37" s="79">
        <f t="shared" si="565"/>
        <v>3000</v>
      </c>
      <c r="AQ37" s="79"/>
      <c r="AR37" s="79">
        <f t="shared" si="565"/>
        <v>986051</v>
      </c>
      <c r="AS37" s="79">
        <f t="shared" si="565"/>
        <v>13507.0113653019</v>
      </c>
      <c r="AT37" s="79">
        <f t="shared" si="565"/>
        <v>15.970000000000001</v>
      </c>
      <c r="AU37" s="79">
        <f t="shared" si="565"/>
        <v>11595.840309958199</v>
      </c>
      <c r="AV37" s="79">
        <f t="shared" si="565"/>
        <v>21</v>
      </c>
      <c r="AW37" s="79">
        <f t="shared" si="565"/>
        <v>21000</v>
      </c>
      <c r="AX37" s="79">
        <f t="shared" si="565"/>
        <v>43589</v>
      </c>
      <c r="AY37" s="81"/>
      <c r="AZ37" s="79">
        <f t="shared" ref="AZ37:BK37" si="566">SUM(AZ38:AZ48)</f>
        <v>0</v>
      </c>
      <c r="BA37" s="79">
        <f t="shared" si="566"/>
        <v>5200</v>
      </c>
      <c r="BB37" s="79"/>
      <c r="BC37" s="79">
        <f t="shared" si="566"/>
        <v>8800</v>
      </c>
      <c r="BD37" s="81">
        <f t="shared" si="566"/>
        <v>234.90430675319001</v>
      </c>
      <c r="BE37" s="79">
        <f t="shared" si="566"/>
        <v>2944.08963840552</v>
      </c>
      <c r="BF37" s="81" t="e">
        <f t="shared" si="566"/>
        <v>#N/A</v>
      </c>
      <c r="BG37" s="79" t="e">
        <f t="shared" si="566"/>
        <v>#N/A</v>
      </c>
      <c r="BH37" s="80" t="e">
        <f t="shared" si="566"/>
        <v>#REF!</v>
      </c>
      <c r="BI37" s="80" t="e">
        <f t="shared" si="566"/>
        <v>#REF!</v>
      </c>
      <c r="BJ37" s="186" t="e">
        <f t="shared" si="566"/>
        <v>#REF!</v>
      </c>
      <c r="BK37" s="187">
        <f t="shared" si="566"/>
        <v>302546.14145536098</v>
      </c>
      <c r="BL37" s="79">
        <v>330075</v>
      </c>
      <c r="BM37" s="187">
        <f>SUM(BM38:BM48)</f>
        <v>299728.41550796502</v>
      </c>
      <c r="BN37" s="187">
        <f>SUM(BN38:BN48)</f>
        <v>2817.7259473957502</v>
      </c>
      <c r="BO37" s="43">
        <f t="shared" si="492"/>
        <v>9.4009303142660403e-003</v>
      </c>
      <c r="BP37" s="188"/>
    </row>
    <row r="38" ht="17" customHeight="1">
      <c r="A38" s="46">
        <v>15</v>
      </c>
      <c r="B38" s="82" t="s">
        <v>84</v>
      </c>
      <c r="C38" s="46" t="s">
        <v>93</v>
      </c>
      <c r="D38" s="46">
        <v>2019</v>
      </c>
      <c r="E38" s="46" t="s">
        <v>94</v>
      </c>
      <c r="F38" s="46"/>
      <c r="G38" s="73" t="e">
        <f>VLOOKUP(B:B,#REF!,2,0)</f>
        <v>#REF!</v>
      </c>
      <c r="H38" s="73" t="e">
        <f t="shared" ref="H38:H48" si="567">G38*299423/381298.76</f>
        <v>#REF!</v>
      </c>
      <c r="I38" s="59" t="e">
        <f>VLOOKUP(B38,#REF!,4,0)</f>
        <v>#REF!</v>
      </c>
      <c r="J38" s="59" t="e">
        <f>VLOOKUP(B38,#REF!,2,0)</f>
        <v>#REF!</v>
      </c>
      <c r="K38" s="73" t="e">
        <f t="shared" ref="K38:K48" si="568">I38*1485211/1408452</f>
        <v>#REF!</v>
      </c>
      <c r="L38" s="73" t="e">
        <f t="shared" ref="L38:L48" si="569">J38*1485211/1408452</f>
        <v>#REF!</v>
      </c>
      <c r="M38" s="59">
        <v>39085</v>
      </c>
      <c r="N38" s="59">
        <v>4106</v>
      </c>
      <c r="O38" s="73">
        <f>179608+30074</f>
        <v>209682</v>
      </c>
      <c r="P38" s="59">
        <f t="shared" si="556"/>
        <v>167745.60000000001</v>
      </c>
      <c r="Q38" s="59">
        <f t="shared" si="557"/>
        <v>0</v>
      </c>
      <c r="R38" s="59">
        <f t="shared" si="558"/>
        <v>0</v>
      </c>
      <c r="S38" s="59">
        <f t="shared" si="559"/>
        <v>0</v>
      </c>
      <c r="T38" s="59">
        <f t="shared" si="560"/>
        <v>167745.60000000001</v>
      </c>
      <c r="U38" s="59">
        <f t="shared" si="561"/>
        <v>0</v>
      </c>
      <c r="V38" s="59">
        <v>19743</v>
      </c>
      <c r="W38" s="59">
        <f t="shared" ref="W38:W47" si="570">V38*1</f>
        <v>19743</v>
      </c>
      <c r="X38" s="59">
        <v>34418</v>
      </c>
      <c r="Y38" s="59">
        <f t="shared" ref="Y38:Y48" si="571">Z38+AA38+AB38*1.2</f>
        <v>93573</v>
      </c>
      <c r="Z38" s="59">
        <v>3309</v>
      </c>
      <c r="AA38" s="59">
        <v>52956</v>
      </c>
      <c r="AB38" s="59">
        <v>31090</v>
      </c>
      <c r="AC38" s="59">
        <v>7208</v>
      </c>
      <c r="AD38" s="59">
        <f t="shared" ref="AD38:AD48" si="572">O38/$O$9*202299+W38/$W$9*134866+AC38/$AC$9*34867+X38/$X$9*100000</f>
        <v>15055.2786330567</v>
      </c>
      <c r="AE38" s="59">
        <v>10059.08</v>
      </c>
      <c r="AF38" s="62">
        <f t="shared" ref="AF38:AF48" si="573">($AE$64-AE38)/($AE$64-$AE$44)</f>
        <v>0.90357300767142901</v>
      </c>
      <c r="AG38" s="62">
        <f t="shared" ref="AG38:AG48" si="574">(O38+V38)*AF38/10000</f>
        <v>20.730223728501802</v>
      </c>
      <c r="AH38" s="62">
        <f t="shared" ref="AH38:AH47" si="575">AG38*1</f>
        <v>20.730223728501802</v>
      </c>
      <c r="AI38" s="59">
        <f t="shared" ref="AI38:AI48" si="576">AH38/$AH$9*1348663*0.1</f>
        <v>6179.20261510809</v>
      </c>
      <c r="AJ38" s="59">
        <f t="shared" ref="AJ38:AJ47" si="577">P38</f>
        <v>167745.60000000001</v>
      </c>
      <c r="AK38" s="59">
        <f t="shared" ref="AK38:AK47" si="578">AJ38/$AJ$9*2859</f>
        <v>119.34183670269999</v>
      </c>
      <c r="AL38" s="59">
        <v>10623.15</v>
      </c>
      <c r="AM38" s="59">
        <v>135</v>
      </c>
      <c r="AN38" s="62">
        <v>0.86429420401314405</v>
      </c>
      <c r="AO38" s="59">
        <f t="shared" ref="AO38:AO48" si="579">(AL38/$AL$9*80000)</f>
        <v>1196.5225894653499</v>
      </c>
      <c r="AP38" s="59"/>
      <c r="AQ38" s="59"/>
      <c r="AR38" s="59">
        <v>126647</v>
      </c>
      <c r="AS38" s="59">
        <f t="shared" ref="AS38:AS48" si="580">AR38/$AR$9*50000</f>
        <v>1734.82149339273</v>
      </c>
      <c r="AT38" s="189">
        <v>1.97</v>
      </c>
      <c r="AU38" s="59">
        <f t="shared" ref="AU38:AU48" si="581">AT38/$AT$9*50000</f>
        <v>1430.4198754300301</v>
      </c>
      <c r="AV38" s="59">
        <v>2</v>
      </c>
      <c r="AW38" s="59">
        <f t="shared" ref="AW38:AW48" si="582">AV38*1000</f>
        <v>2000</v>
      </c>
      <c r="AX38" s="59">
        <v>6721</v>
      </c>
      <c r="AY38" s="62">
        <v>90.079999999999998</v>
      </c>
      <c r="AZ38" s="62" t="s">
        <v>444</v>
      </c>
      <c r="BA38" s="59">
        <v>1000</v>
      </c>
      <c r="BB38" s="59" t="s">
        <v>443</v>
      </c>
      <c r="BC38" s="59"/>
      <c r="BD38" s="62">
        <v>13.873299788282001</v>
      </c>
      <c r="BE38" s="59">
        <f t="shared" ref="BE38:BE48" si="583">BD38/$BD$9*42266</f>
        <v>173.87607201297101</v>
      </c>
      <c r="BF38" s="62" t="e">
        <f>VLOOKUP(B38,'2022年项目库建设情况'!B:O,14,0)</f>
        <v>#N/A</v>
      </c>
      <c r="BG38" s="59" t="e">
        <f t="shared" ref="BG38:BG48" si="584">BF38/$BF$9*1348663*0.025</f>
        <v>#N/A</v>
      </c>
      <c r="BH38" s="53" t="e">
        <f>ROUND(AI38+AD38+#REF!+#REF!+BE38+BG38,0)</f>
        <v>#REF!</v>
      </c>
      <c r="BI38" s="59" t="e">
        <f t="shared" ref="BI38:BI48" si="585">N38-G38</f>
        <v>#REF!</v>
      </c>
      <c r="BJ38" s="167" t="e">
        <f t="shared" ref="BJ38:BJ48" si="586">BI38/G38</f>
        <v>#REF!</v>
      </c>
      <c r="BK38" s="170">
        <f t="shared" ref="BK38:BK48" si="587">AD38+AI38+AO38+AP38+AS38+AU38+AW38+AX38+BA38+BC38+BE38</f>
        <v>35491.1212784659</v>
      </c>
      <c r="BL38" s="59">
        <v>39085</v>
      </c>
      <c r="BM38" s="59">
        <f t="shared" ref="BM38:BM48" si="588">BL38/$BL$9*1348663</f>
        <v>35491.585609721398</v>
      </c>
      <c r="BN38" s="59">
        <f t="shared" ref="BN38:BN48" si="589">BK38-BM38</f>
        <v>-0.46433125552721299</v>
      </c>
      <c r="BO38" s="43">
        <f t="shared" si="492"/>
        <v>-1.3082854641468301e-005</v>
      </c>
    </row>
    <row r="39" ht="17" customHeight="1">
      <c r="A39" s="46">
        <v>16</v>
      </c>
      <c r="B39" s="82" t="s">
        <v>85</v>
      </c>
      <c r="C39" s="46" t="s">
        <v>93</v>
      </c>
      <c r="D39" s="46">
        <v>2019</v>
      </c>
      <c r="E39" s="46" t="s">
        <v>94</v>
      </c>
      <c r="F39" s="46"/>
      <c r="G39" s="73" t="e">
        <f>VLOOKUP(B:B,#REF!,2,0)</f>
        <v>#REF!</v>
      </c>
      <c r="H39" s="73" t="e">
        <f t="shared" si="567"/>
        <v>#REF!</v>
      </c>
      <c r="I39" s="59" t="e">
        <f>VLOOKUP(B39,#REF!,4,0)</f>
        <v>#REF!</v>
      </c>
      <c r="J39" s="59" t="e">
        <f>VLOOKUP(B39,#REF!,2,0)</f>
        <v>#REF!</v>
      </c>
      <c r="K39" s="73" t="e">
        <f t="shared" si="568"/>
        <v>#REF!</v>
      </c>
      <c r="L39" s="73" t="e">
        <f t="shared" si="569"/>
        <v>#REF!</v>
      </c>
      <c r="M39" s="59">
        <v>26614</v>
      </c>
      <c r="N39" s="59">
        <v>3277</v>
      </c>
      <c r="O39" s="73">
        <f>99652+21811</f>
        <v>121463</v>
      </c>
      <c r="P39" s="59">
        <f t="shared" si="556"/>
        <v>97170.399999999994</v>
      </c>
      <c r="Q39" s="59">
        <f t="shared" si="557"/>
        <v>0</v>
      </c>
      <c r="R39" s="59">
        <f t="shared" si="558"/>
        <v>0</v>
      </c>
      <c r="S39" s="59">
        <f t="shared" si="559"/>
        <v>0</v>
      </c>
      <c r="T39" s="59">
        <f t="shared" si="560"/>
        <v>97170.399999999994</v>
      </c>
      <c r="U39" s="59">
        <f t="shared" si="561"/>
        <v>0</v>
      </c>
      <c r="V39" s="59">
        <v>14312</v>
      </c>
      <c r="W39" s="59">
        <f t="shared" si="570"/>
        <v>14312</v>
      </c>
      <c r="X39" s="59">
        <v>19688</v>
      </c>
      <c r="Y39" s="59">
        <f t="shared" si="571"/>
        <v>78837</v>
      </c>
      <c r="Z39" s="59"/>
      <c r="AA39" s="59">
        <v>35835</v>
      </c>
      <c r="AB39" s="59">
        <v>35835</v>
      </c>
      <c r="AC39" s="59">
        <v>3517</v>
      </c>
      <c r="AD39" s="59">
        <f t="shared" si="572"/>
        <v>9053.1718435315397</v>
      </c>
      <c r="AE39" s="59">
        <v>9634.3199999999997</v>
      </c>
      <c r="AF39" s="62">
        <f t="shared" si="573"/>
        <v>0.97211562977043797</v>
      </c>
      <c r="AG39" s="62">
        <f t="shared" si="574"/>
        <v>13.198899963208101</v>
      </c>
      <c r="AH39" s="62">
        <f t="shared" si="575"/>
        <v>13.198899963208101</v>
      </c>
      <c r="AI39" s="59">
        <f t="shared" si="576"/>
        <v>3934.2883240122301</v>
      </c>
      <c r="AJ39" s="59">
        <f t="shared" si="577"/>
        <v>97170.399999999994</v>
      </c>
      <c r="AK39" s="59">
        <f t="shared" si="578"/>
        <v>69.131434798504401</v>
      </c>
      <c r="AL39" s="59">
        <v>12573.790000000001</v>
      </c>
      <c r="AM39" s="59">
        <v>15</v>
      </c>
      <c r="AN39" s="62">
        <v>0.97603414313854198</v>
      </c>
      <c r="AO39" s="59">
        <f t="shared" si="579"/>
        <v>1416.2300043013099</v>
      </c>
      <c r="AP39" s="59"/>
      <c r="AQ39" s="59"/>
      <c r="AR39" s="59">
        <v>71305</v>
      </c>
      <c r="AS39" s="59">
        <f t="shared" si="580"/>
        <v>976.74201983756802</v>
      </c>
      <c r="AT39" s="189">
        <v>1.24</v>
      </c>
      <c r="AU39" s="59">
        <f t="shared" si="581"/>
        <v>900.36580991535095</v>
      </c>
      <c r="AV39" s="59">
        <v>2</v>
      </c>
      <c r="AW39" s="59">
        <f t="shared" si="582"/>
        <v>2000</v>
      </c>
      <c r="AX39" s="59">
        <v>4718</v>
      </c>
      <c r="AY39" s="62">
        <v>74.450000000000003</v>
      </c>
      <c r="AZ39" s="62" t="s">
        <v>440</v>
      </c>
      <c r="BA39" s="59"/>
      <c r="BB39" s="59" t="s">
        <v>441</v>
      </c>
      <c r="BC39" s="59">
        <v>1000</v>
      </c>
      <c r="BD39" s="62">
        <v>13.4208559415507</v>
      </c>
      <c r="BE39" s="59">
        <f t="shared" si="583"/>
        <v>168.20552786870601</v>
      </c>
      <c r="BF39" s="62" t="e">
        <f>VLOOKUP(B39,'2022年项目库建设情况'!B:O,14,0)</f>
        <v>#N/A</v>
      </c>
      <c r="BG39" s="59" t="e">
        <f t="shared" si="584"/>
        <v>#N/A</v>
      </c>
      <c r="BH39" s="53" t="e">
        <f>ROUND(AI39+AD39+#REF!+#REF!+BE39+BG39,0)</f>
        <v>#REF!</v>
      </c>
      <c r="BI39" s="59" t="e">
        <f t="shared" si="585"/>
        <v>#REF!</v>
      </c>
      <c r="BJ39" s="167" t="e">
        <f t="shared" si="586"/>
        <v>#REF!</v>
      </c>
      <c r="BK39" s="170">
        <f t="shared" si="587"/>
        <v>24167.0035294667</v>
      </c>
      <c r="BL39" s="59">
        <v>26614</v>
      </c>
      <c r="BM39" s="59">
        <f t="shared" si="588"/>
        <v>24167.150042653899</v>
      </c>
      <c r="BN39" s="59">
        <f t="shared" si="589"/>
        <v>-0.14651318717369599</v>
      </c>
      <c r="BO39" s="43">
        <f t="shared" si="492"/>
        <v>-6.0624933811023203e-006</v>
      </c>
    </row>
    <row r="40" ht="17" customHeight="1">
      <c r="A40" s="46">
        <v>17</v>
      </c>
      <c r="B40" s="82" t="s">
        <v>86</v>
      </c>
      <c r="C40" s="46" t="s">
        <v>93</v>
      </c>
      <c r="D40" s="46">
        <v>2019</v>
      </c>
      <c r="E40" s="46" t="s">
        <v>94</v>
      </c>
      <c r="F40" s="46"/>
      <c r="G40" s="73" t="e">
        <f>VLOOKUP(B:B,#REF!,2,0)</f>
        <v>#REF!</v>
      </c>
      <c r="H40" s="73" t="e">
        <f t="shared" si="567"/>
        <v>#REF!</v>
      </c>
      <c r="I40" s="59" t="e">
        <f>VLOOKUP(B40,#REF!,4,0)</f>
        <v>#REF!</v>
      </c>
      <c r="J40" s="59" t="e">
        <f>VLOOKUP(B40,#REF!,2,0)</f>
        <v>#REF!</v>
      </c>
      <c r="K40" s="73" t="e">
        <f t="shared" si="568"/>
        <v>#REF!</v>
      </c>
      <c r="L40" s="73" t="e">
        <f t="shared" si="569"/>
        <v>#REF!</v>
      </c>
      <c r="M40" s="59">
        <v>27547</v>
      </c>
      <c r="N40" s="59">
        <v>4413</v>
      </c>
      <c r="O40" s="73">
        <f>143330-13821</f>
        <v>129509</v>
      </c>
      <c r="P40" s="59">
        <f t="shared" si="556"/>
        <v>103607.2</v>
      </c>
      <c r="Q40" s="59">
        <f t="shared" si="557"/>
        <v>0</v>
      </c>
      <c r="R40" s="59">
        <f t="shared" si="558"/>
        <v>0</v>
      </c>
      <c r="S40" s="59">
        <f t="shared" si="559"/>
        <v>0</v>
      </c>
      <c r="T40" s="59">
        <f t="shared" si="560"/>
        <v>103607.2</v>
      </c>
      <c r="U40" s="59">
        <f t="shared" si="561"/>
        <v>0</v>
      </c>
      <c r="V40" s="59">
        <v>21282</v>
      </c>
      <c r="W40" s="59">
        <f t="shared" si="570"/>
        <v>21282</v>
      </c>
      <c r="X40" s="59">
        <v>26169</v>
      </c>
      <c r="Y40" s="59">
        <f t="shared" si="571"/>
        <v>0</v>
      </c>
      <c r="Z40" s="59"/>
      <c r="AA40" s="59"/>
      <c r="AB40" s="59"/>
      <c r="AC40" s="59">
        <v>3894</v>
      </c>
      <c r="AD40" s="59">
        <f t="shared" si="572"/>
        <v>11280.4131226053</v>
      </c>
      <c r="AE40" s="59">
        <v>9470.0300000000007</v>
      </c>
      <c r="AF40" s="62">
        <f t="shared" si="573"/>
        <v>0.99862675931334699</v>
      </c>
      <c r="AG40" s="62">
        <f t="shared" si="574"/>
        <v>15.0583927663619</v>
      </c>
      <c r="AH40" s="62">
        <f t="shared" si="575"/>
        <v>15.0583927663619</v>
      </c>
      <c r="AI40" s="59">
        <f t="shared" si="576"/>
        <v>4488.5603348938403</v>
      </c>
      <c r="AJ40" s="59">
        <f t="shared" si="577"/>
        <v>103607.2</v>
      </c>
      <c r="AK40" s="59">
        <f t="shared" si="578"/>
        <v>73.710866595749394</v>
      </c>
      <c r="AL40" s="59">
        <v>11513.559999999999</v>
      </c>
      <c r="AM40" s="59">
        <v>86</v>
      </c>
      <c r="AN40" s="62">
        <v>0.85737385836202995</v>
      </c>
      <c r="AO40" s="59">
        <f t="shared" si="579"/>
        <v>1296.8125862069701</v>
      </c>
      <c r="AP40" s="59"/>
      <c r="AQ40" s="59"/>
      <c r="AR40" s="59">
        <v>84924</v>
      </c>
      <c r="AS40" s="59">
        <f t="shared" si="580"/>
        <v>1163.29625261462</v>
      </c>
      <c r="AT40" s="189">
        <v>1.3700000000000001</v>
      </c>
      <c r="AU40" s="59">
        <f t="shared" si="581"/>
        <v>994.75899966454097</v>
      </c>
      <c r="AV40" s="59">
        <v>2</v>
      </c>
      <c r="AW40" s="59">
        <f t="shared" si="582"/>
        <v>2000</v>
      </c>
      <c r="AX40" s="59">
        <v>1585</v>
      </c>
      <c r="AY40" s="62">
        <v>85.890000000000001</v>
      </c>
      <c r="AZ40" s="62" t="s">
        <v>442</v>
      </c>
      <c r="BA40" s="59">
        <v>800</v>
      </c>
      <c r="BB40" s="59" t="s">
        <v>441</v>
      </c>
      <c r="BC40" s="59">
        <v>1000</v>
      </c>
      <c r="BD40" s="62">
        <v>32.369414030630701</v>
      </c>
      <c r="BE40" s="59">
        <f t="shared" si="583"/>
        <v>405.69054593352701</v>
      </c>
      <c r="BF40" s="62" t="e">
        <f>VLOOKUP(B40,'2022年项目库建设情况'!B:O,14,0)</f>
        <v>#N/A</v>
      </c>
      <c r="BG40" s="59" t="e">
        <f t="shared" si="584"/>
        <v>#N/A</v>
      </c>
      <c r="BH40" s="53" t="e">
        <f>ROUND(AI40+AD40+#REF!+#REF!+BE40+BG40,0)</f>
        <v>#REF!</v>
      </c>
      <c r="BI40" s="59" t="e">
        <f t="shared" si="585"/>
        <v>#REF!</v>
      </c>
      <c r="BJ40" s="167" t="e">
        <f t="shared" si="586"/>
        <v>#REF!</v>
      </c>
      <c r="BK40" s="170">
        <f t="shared" si="587"/>
        <v>25014.531841918899</v>
      </c>
      <c r="BL40" s="59">
        <v>27547</v>
      </c>
      <c r="BM40" s="59">
        <f t="shared" si="588"/>
        <v>25014.3714670845</v>
      </c>
      <c r="BN40" s="59">
        <f t="shared" si="589"/>
        <v>0.16037483438049099</v>
      </c>
      <c r="BO40" s="43">
        <f t="shared" si="492"/>
        <v>6.4113077792709102e-006</v>
      </c>
    </row>
    <row r="41" ht="17" customHeight="1">
      <c r="A41" s="46">
        <v>18</v>
      </c>
      <c r="B41" s="82" t="s">
        <v>87</v>
      </c>
      <c r="C41" s="46" t="s">
        <v>90</v>
      </c>
      <c r="D41" s="46">
        <v>2019</v>
      </c>
      <c r="E41" s="46" t="s">
        <v>94</v>
      </c>
      <c r="F41" s="46"/>
      <c r="G41" s="73" t="e">
        <f>VLOOKUP(B:B,#REF!,2,0)</f>
        <v>#REF!</v>
      </c>
      <c r="H41" s="73" t="e">
        <f t="shared" si="567"/>
        <v>#REF!</v>
      </c>
      <c r="I41" s="59" t="e">
        <f>VLOOKUP(B41,#REF!,4,0)</f>
        <v>#REF!</v>
      </c>
      <c r="J41" s="59" t="e">
        <f>VLOOKUP(B41,#REF!,2,0)</f>
        <v>#REF!</v>
      </c>
      <c r="K41" s="73" t="e">
        <f t="shared" si="568"/>
        <v>#REF!</v>
      </c>
      <c r="L41" s="73" t="e">
        <f t="shared" si="569"/>
        <v>#REF!</v>
      </c>
      <c r="M41" s="59">
        <v>22064</v>
      </c>
      <c r="N41" s="59">
        <v>2898</v>
      </c>
      <c r="O41" s="73">
        <f>93810</f>
        <v>93810</v>
      </c>
      <c r="P41" s="59">
        <f t="shared" si="556"/>
        <v>75048</v>
      </c>
      <c r="Q41" s="59">
        <f t="shared" si="557"/>
        <v>0</v>
      </c>
      <c r="R41" s="59">
        <f t="shared" si="558"/>
        <v>0</v>
      </c>
      <c r="S41" s="59">
        <f t="shared" si="559"/>
        <v>0</v>
      </c>
      <c r="T41" s="59">
        <f t="shared" si="560"/>
        <v>75048</v>
      </c>
      <c r="U41" s="59">
        <f t="shared" si="561"/>
        <v>0</v>
      </c>
      <c r="V41" s="59">
        <v>12277</v>
      </c>
      <c r="W41" s="59">
        <f t="shared" si="570"/>
        <v>12277</v>
      </c>
      <c r="X41" s="59">
        <v>28774</v>
      </c>
      <c r="Y41" s="59">
        <f t="shared" si="571"/>
        <v>17195</v>
      </c>
      <c r="Z41" s="59">
        <v>3084</v>
      </c>
      <c r="AA41" s="59">
        <v>14111</v>
      </c>
      <c r="AB41" s="59"/>
      <c r="AC41" s="59">
        <v>1458</v>
      </c>
      <c r="AD41" s="59">
        <f t="shared" si="572"/>
        <v>8274.9046519222102</v>
      </c>
      <c r="AE41" s="59">
        <v>11420.52</v>
      </c>
      <c r="AF41" s="62">
        <f t="shared" si="573"/>
        <v>0.68388031666833404</v>
      </c>
      <c r="AG41" s="62">
        <f t="shared" si="574"/>
        <v>7.25508111543936</v>
      </c>
      <c r="AH41" s="62">
        <f t="shared" si="575"/>
        <v>7.25508111543936</v>
      </c>
      <c r="AI41" s="59">
        <f t="shared" si="576"/>
        <v>2162.5727145292199</v>
      </c>
      <c r="AJ41" s="59">
        <f t="shared" si="577"/>
        <v>75048</v>
      </c>
      <c r="AK41" s="59">
        <f t="shared" si="578"/>
        <v>53.392554921644397</v>
      </c>
      <c r="AL41" s="59">
        <v>7273.5217000000002</v>
      </c>
      <c r="AM41" s="59">
        <v>37</v>
      </c>
      <c r="AN41" s="62">
        <v>0.89843485002665102</v>
      </c>
      <c r="AO41" s="59">
        <f t="shared" si="579"/>
        <v>819.24222278856905</v>
      </c>
      <c r="AP41" s="59">
        <v>3000</v>
      </c>
      <c r="AQ41" s="59"/>
      <c r="AR41" s="59">
        <v>58786</v>
      </c>
      <c r="AS41" s="59">
        <f t="shared" si="580"/>
        <v>805.25568162360696</v>
      </c>
      <c r="AT41" s="189">
        <v>0.92000000000000004</v>
      </c>
      <c r="AU41" s="59">
        <f t="shared" si="581"/>
        <v>668.01334284042196</v>
      </c>
      <c r="AV41" s="59">
        <v>2</v>
      </c>
      <c r="AW41" s="59">
        <f t="shared" si="582"/>
        <v>2000</v>
      </c>
      <c r="AX41" s="59">
        <v>133</v>
      </c>
      <c r="AY41" s="62">
        <v>90.760000000000005</v>
      </c>
      <c r="AZ41" s="62" t="s">
        <v>444</v>
      </c>
      <c r="BA41" s="59">
        <v>1000</v>
      </c>
      <c r="BB41" s="59" t="s">
        <v>441</v>
      </c>
      <c r="BC41" s="59">
        <v>1000</v>
      </c>
      <c r="BD41" s="62">
        <v>13.7412804479036</v>
      </c>
      <c r="BE41" s="59">
        <f t="shared" si="583"/>
        <v>172.22145453298799</v>
      </c>
      <c r="BF41" s="62" t="e">
        <f>VLOOKUP(B41,'2022年项目库建设情况'!B:O,14,0)</f>
        <v>#N/A</v>
      </c>
      <c r="BG41" s="59" t="e">
        <f t="shared" si="584"/>
        <v>#N/A</v>
      </c>
      <c r="BH41" s="53" t="e">
        <f>ROUND(AI41+AD41+#REF!+#REF!+BE41+BG41,0)</f>
        <v>#REF!</v>
      </c>
      <c r="BI41" s="59" t="e">
        <f t="shared" si="585"/>
        <v>#REF!</v>
      </c>
      <c r="BJ41" s="167" t="e">
        <f t="shared" si="586"/>
        <v>#REF!</v>
      </c>
      <c r="BK41" s="170">
        <f t="shared" si="587"/>
        <v>20035.210068237</v>
      </c>
      <c r="BL41" s="59">
        <v>22064</v>
      </c>
      <c r="BM41" s="59">
        <f t="shared" si="588"/>
        <v>20035.469998538902</v>
      </c>
      <c r="BN41" s="59">
        <f t="shared" si="589"/>
        <v>-0.25993030190875299</v>
      </c>
      <c r="BO41" s="43">
        <f t="shared" si="492"/>
        <v>-1.29735065824614e-005</v>
      </c>
    </row>
    <row r="42" ht="17" customHeight="1">
      <c r="A42" s="46">
        <v>19</v>
      </c>
      <c r="B42" s="82" t="s">
        <v>88</v>
      </c>
      <c r="C42" s="46" t="s">
        <v>93</v>
      </c>
      <c r="D42" s="46">
        <v>2019</v>
      </c>
      <c r="E42" s="46" t="s">
        <v>94</v>
      </c>
      <c r="F42" s="46"/>
      <c r="G42" s="73" t="e">
        <f>VLOOKUP(B:B,#REF!,2,0)</f>
        <v>#REF!</v>
      </c>
      <c r="H42" s="73" t="e">
        <f t="shared" si="567"/>
        <v>#REF!</v>
      </c>
      <c r="I42" s="59" t="e">
        <f>VLOOKUP(B42,#REF!,4,0)</f>
        <v>#REF!</v>
      </c>
      <c r="J42" s="59" t="e">
        <f>VLOOKUP(B42,#REF!,2,0)</f>
        <v>#REF!</v>
      </c>
      <c r="K42" s="73" t="e">
        <f t="shared" si="568"/>
        <v>#REF!</v>
      </c>
      <c r="L42" s="73" t="e">
        <f t="shared" si="569"/>
        <v>#REF!</v>
      </c>
      <c r="M42" s="59">
        <v>21951</v>
      </c>
      <c r="N42" s="59">
        <v>4162</v>
      </c>
      <c r="O42" s="73">
        <f>97140-16963</f>
        <v>80177</v>
      </c>
      <c r="P42" s="59">
        <f t="shared" si="556"/>
        <v>64141.599999999999</v>
      </c>
      <c r="Q42" s="59">
        <f t="shared" si="557"/>
        <v>0</v>
      </c>
      <c r="R42" s="59">
        <f t="shared" si="558"/>
        <v>0</v>
      </c>
      <c r="S42" s="59">
        <f t="shared" si="559"/>
        <v>0</v>
      </c>
      <c r="T42" s="59">
        <f t="shared" si="560"/>
        <v>64141.599999999999</v>
      </c>
      <c r="U42" s="59">
        <f t="shared" si="561"/>
        <v>0</v>
      </c>
      <c r="V42" s="59">
        <v>18082</v>
      </c>
      <c r="W42" s="59">
        <f t="shared" si="570"/>
        <v>18082</v>
      </c>
      <c r="X42" s="59">
        <v>29592</v>
      </c>
      <c r="Y42" s="59">
        <f t="shared" si="571"/>
        <v>0</v>
      </c>
      <c r="Z42" s="59"/>
      <c r="AA42" s="59"/>
      <c r="AB42" s="59"/>
      <c r="AC42" s="59">
        <v>3144</v>
      </c>
      <c r="AD42" s="59">
        <f t="shared" si="572"/>
        <v>9376.1159276333492</v>
      </c>
      <c r="AE42" s="59">
        <v>10218.719999999999</v>
      </c>
      <c r="AF42" s="62">
        <f t="shared" si="573"/>
        <v>0.877812238785739</v>
      </c>
      <c r="AG42" s="62">
        <f t="shared" si="574"/>
        <v>8.6252952770847902</v>
      </c>
      <c r="AH42" s="62">
        <f t="shared" si="575"/>
        <v>8.6252952770847902</v>
      </c>
      <c r="AI42" s="59">
        <f t="shared" si="576"/>
        <v>2571.0020224703899</v>
      </c>
      <c r="AJ42" s="59">
        <f t="shared" si="577"/>
        <v>64141.599999999999</v>
      </c>
      <c r="AK42" s="59">
        <f t="shared" si="578"/>
        <v>45.633246732253397</v>
      </c>
      <c r="AL42" s="59">
        <v>16047.1</v>
      </c>
      <c r="AM42" s="59">
        <v>104</v>
      </c>
      <c r="AN42" s="62">
        <v>1</v>
      </c>
      <c r="AO42" s="59">
        <f t="shared" si="579"/>
        <v>1807.44107401377</v>
      </c>
      <c r="AP42" s="59"/>
      <c r="AQ42" s="59"/>
      <c r="AR42" s="59">
        <v>54695</v>
      </c>
      <c r="AS42" s="59">
        <f t="shared" si="580"/>
        <v>749.21681193486802</v>
      </c>
      <c r="AT42" s="189">
        <v>0.83999999999999997</v>
      </c>
      <c r="AU42" s="59">
        <f t="shared" si="581"/>
        <v>609.92522607168996</v>
      </c>
      <c r="AV42" s="59">
        <v>2</v>
      </c>
      <c r="AW42" s="59">
        <f t="shared" si="582"/>
        <v>2000</v>
      </c>
      <c r="AX42" s="59">
        <v>1854</v>
      </c>
      <c r="AY42" s="62">
        <v>88.120000000000005</v>
      </c>
      <c r="AZ42" s="62" t="s">
        <v>442</v>
      </c>
      <c r="BA42" s="59">
        <v>800</v>
      </c>
      <c r="BB42" s="59" t="s">
        <v>443</v>
      </c>
      <c r="BC42" s="59"/>
      <c r="BD42" s="62">
        <v>13.2132171272535</v>
      </c>
      <c r="BE42" s="59">
        <f t="shared" si="583"/>
        <v>165.603160589227</v>
      </c>
      <c r="BF42" s="62" t="e">
        <f>VLOOKUP(B42,'2022年项目库建设情况'!B:O,14,0)</f>
        <v>#N/A</v>
      </c>
      <c r="BG42" s="59" t="e">
        <f t="shared" si="584"/>
        <v>#N/A</v>
      </c>
      <c r="BH42" s="53" t="e">
        <f>ROUND(AI42+AD42+#REF!+#REF!+BE42+BG42,0)</f>
        <v>#REF!</v>
      </c>
      <c r="BI42" s="59" t="e">
        <f t="shared" si="585"/>
        <v>#REF!</v>
      </c>
      <c r="BJ42" s="167" t="e">
        <f t="shared" si="586"/>
        <v>#REF!</v>
      </c>
      <c r="BK42" s="170">
        <f t="shared" si="587"/>
        <v>19933.304222713301</v>
      </c>
      <c r="BL42" s="59">
        <v>21951</v>
      </c>
      <c r="BM42" s="59">
        <f t="shared" si="588"/>
        <v>19932.8590435972</v>
      </c>
      <c r="BN42" s="59">
        <f t="shared" si="589"/>
        <v>0.445179116126383</v>
      </c>
      <c r="BO42" s="43">
        <f t="shared" si="492"/>
        <v>2.2333931883664399e-005</v>
      </c>
    </row>
    <row r="43" ht="17" customHeight="1">
      <c r="A43" s="46">
        <v>20</v>
      </c>
      <c r="B43" s="82" t="s">
        <v>89</v>
      </c>
      <c r="C43" s="46" t="s">
        <v>93</v>
      </c>
      <c r="D43" s="46">
        <v>2019</v>
      </c>
      <c r="E43" s="46" t="s">
        <v>94</v>
      </c>
      <c r="F43" s="46"/>
      <c r="G43" s="73" t="e">
        <f>VLOOKUP(B:B,#REF!,2,0)</f>
        <v>#REF!</v>
      </c>
      <c r="H43" s="73" t="e">
        <f t="shared" si="567"/>
        <v>#REF!</v>
      </c>
      <c r="I43" s="59" t="e">
        <f>VLOOKUP(B43,#REF!,4,0)</f>
        <v>#REF!</v>
      </c>
      <c r="J43" s="59" t="e">
        <f>VLOOKUP(B43,#REF!,2,0)</f>
        <v>#REF!</v>
      </c>
      <c r="K43" s="73" t="e">
        <f t="shared" si="568"/>
        <v>#REF!</v>
      </c>
      <c r="L43" s="73" t="e">
        <f t="shared" si="569"/>
        <v>#REF!</v>
      </c>
      <c r="M43" s="59">
        <v>29321</v>
      </c>
      <c r="N43" s="59">
        <v>4275</v>
      </c>
      <c r="O43" s="73">
        <f>148787-8738-6075</f>
        <v>133974</v>
      </c>
      <c r="P43" s="59">
        <f t="shared" si="556"/>
        <v>107179.2</v>
      </c>
      <c r="Q43" s="59">
        <f t="shared" si="557"/>
        <v>0</v>
      </c>
      <c r="R43" s="59">
        <f t="shared" si="558"/>
        <v>0</v>
      </c>
      <c r="S43" s="59">
        <f t="shared" si="559"/>
        <v>0</v>
      </c>
      <c r="T43" s="59">
        <f t="shared" si="560"/>
        <v>107179.2</v>
      </c>
      <c r="U43" s="59">
        <f t="shared" si="561"/>
        <v>0</v>
      </c>
      <c r="V43" s="59">
        <v>23700</v>
      </c>
      <c r="W43" s="59">
        <f t="shared" si="570"/>
        <v>23700</v>
      </c>
      <c r="X43" s="59">
        <v>40191</v>
      </c>
      <c r="Y43" s="59">
        <f t="shared" si="571"/>
        <v>12853</v>
      </c>
      <c r="Z43" s="59"/>
      <c r="AA43" s="59">
        <v>12853</v>
      </c>
      <c r="AB43" s="59"/>
      <c r="AC43" s="59">
        <v>8829</v>
      </c>
      <c r="AD43" s="59">
        <f t="shared" si="572"/>
        <v>14421.5056404529</v>
      </c>
      <c r="AE43" s="59">
        <v>9928.6200000000008</v>
      </c>
      <c r="AF43" s="62">
        <f t="shared" si="573"/>
        <v>0.92462506172321501</v>
      </c>
      <c r="AG43" s="62">
        <f t="shared" si="574"/>
        <v>14.5789331982146</v>
      </c>
      <c r="AH43" s="62">
        <f t="shared" si="575"/>
        <v>14.5789331982146</v>
      </c>
      <c r="AI43" s="59">
        <f t="shared" si="576"/>
        <v>4345.6444717494996</v>
      </c>
      <c r="AJ43" s="59">
        <f t="shared" si="577"/>
        <v>107179.2</v>
      </c>
      <c r="AK43" s="59">
        <f t="shared" si="578"/>
        <v>76.252149590367694</v>
      </c>
      <c r="AL43" s="59">
        <v>12006.1</v>
      </c>
      <c r="AM43" s="59">
        <v>41</v>
      </c>
      <c r="AN43" s="62">
        <v>0.852272442405555</v>
      </c>
      <c r="AO43" s="59">
        <f t="shared" si="579"/>
        <v>1352.2890914069601</v>
      </c>
      <c r="AP43" s="59"/>
      <c r="AQ43" s="59"/>
      <c r="AR43" s="59">
        <v>88007</v>
      </c>
      <c r="AS43" s="59">
        <f t="shared" si="580"/>
        <v>1205.52745164918</v>
      </c>
      <c r="AT43" s="189">
        <v>1.6200000000000001</v>
      </c>
      <c r="AU43" s="59">
        <f t="shared" si="581"/>
        <v>1176.2843645668299</v>
      </c>
      <c r="AV43" s="59">
        <v>2</v>
      </c>
      <c r="AW43" s="59">
        <f t="shared" si="582"/>
        <v>2000</v>
      </c>
      <c r="AX43" s="59"/>
      <c r="AY43" s="62">
        <v>80.379999999999995</v>
      </c>
      <c r="AZ43" s="62" t="s">
        <v>442</v>
      </c>
      <c r="BA43" s="59">
        <v>800</v>
      </c>
      <c r="BB43" s="59" t="s">
        <v>441</v>
      </c>
      <c r="BC43" s="59">
        <v>1000</v>
      </c>
      <c r="BD43" s="62">
        <v>35.433214804496302</v>
      </c>
      <c r="BE43" s="59">
        <f t="shared" si="583"/>
        <v>444.089603988916</v>
      </c>
      <c r="BF43" s="62" t="e">
        <f>VLOOKUP(B43,'2022年项目库建设情况'!B:O,14,0)</f>
        <v>#N/A</v>
      </c>
      <c r="BG43" s="59" t="e">
        <f t="shared" si="584"/>
        <v>#N/A</v>
      </c>
      <c r="BH43" s="53" t="e">
        <f>ROUND(AI43+AD43+#REF!+#REF!+BE43+BG43,0)</f>
        <v>#REF!</v>
      </c>
      <c r="BI43" s="59" t="e">
        <f t="shared" si="585"/>
        <v>#REF!</v>
      </c>
      <c r="BJ43" s="167" t="e">
        <f t="shared" si="586"/>
        <v>#REF!</v>
      </c>
      <c r="BK43" s="170">
        <f t="shared" si="587"/>
        <v>26745.3406238143</v>
      </c>
      <c r="BL43" s="59">
        <v>29321</v>
      </c>
      <c r="BM43" s="59">
        <f t="shared" si="588"/>
        <v>26625.2726535152</v>
      </c>
      <c r="BN43" s="59">
        <f t="shared" si="589"/>
        <v>120.067970299035</v>
      </c>
      <c r="BO43" s="43">
        <f t="shared" si="492"/>
        <v>4.5095489485319001e-003</v>
      </c>
    </row>
    <row r="44" ht="17" customHeight="1">
      <c r="A44" s="46">
        <v>21</v>
      </c>
      <c r="B44" s="82" t="s">
        <v>92</v>
      </c>
      <c r="C44" s="46" t="s">
        <v>90</v>
      </c>
      <c r="D44" s="46">
        <v>2018</v>
      </c>
      <c r="E44" s="46" t="s">
        <v>91</v>
      </c>
      <c r="F44" s="46"/>
      <c r="G44" s="73" t="e">
        <f>VLOOKUP(B:B,#REF!,2,0)</f>
        <v>#REF!</v>
      </c>
      <c r="H44" s="73" t="e">
        <f t="shared" si="567"/>
        <v>#REF!</v>
      </c>
      <c r="I44" s="59" t="e">
        <f>VLOOKUP(B44,#REF!,4,0)</f>
        <v>#REF!</v>
      </c>
      <c r="J44" s="59" t="e">
        <f>VLOOKUP(B44,#REF!,2,0)</f>
        <v>#REF!</v>
      </c>
      <c r="K44" s="73" t="e">
        <f t="shared" si="568"/>
        <v>#REF!</v>
      </c>
      <c r="L44" s="73" t="e">
        <f t="shared" si="569"/>
        <v>#REF!</v>
      </c>
      <c r="M44" s="59">
        <v>9459</v>
      </c>
      <c r="N44" s="59">
        <v>4067</v>
      </c>
      <c r="O44" s="73">
        <v>39345</v>
      </c>
      <c r="P44" s="59">
        <f t="shared" si="556"/>
        <v>23607</v>
      </c>
      <c r="Q44" s="59">
        <f t="shared" si="557"/>
        <v>0</v>
      </c>
      <c r="R44" s="59">
        <f t="shared" si="558"/>
        <v>0</v>
      </c>
      <c r="S44" s="59">
        <f t="shared" si="559"/>
        <v>23607</v>
      </c>
      <c r="T44" s="59">
        <f t="shared" si="560"/>
        <v>0</v>
      </c>
      <c r="U44" s="59">
        <f t="shared" si="561"/>
        <v>0</v>
      </c>
      <c r="V44" s="59">
        <v>8053</v>
      </c>
      <c r="W44" s="59">
        <f t="shared" si="570"/>
        <v>8053</v>
      </c>
      <c r="X44" s="59">
        <v>8207</v>
      </c>
      <c r="Y44" s="59">
        <f t="shared" si="571"/>
        <v>4819</v>
      </c>
      <c r="Z44" s="59">
        <v>4819</v>
      </c>
      <c r="AA44" s="59"/>
      <c r="AB44" s="59"/>
      <c r="AC44" s="59">
        <v>1226</v>
      </c>
      <c r="AD44" s="59">
        <f t="shared" si="572"/>
        <v>3746.0231060043102</v>
      </c>
      <c r="AE44" s="59">
        <v>9461.5200000000004</v>
      </c>
      <c r="AF44" s="62">
        <f t="shared" si="573"/>
        <v>1</v>
      </c>
      <c r="AG44" s="62">
        <f t="shared" si="574"/>
        <v>4.7397999999999998</v>
      </c>
      <c r="AH44" s="62">
        <f t="shared" si="575"/>
        <v>4.7397999999999998</v>
      </c>
      <c r="AI44" s="59">
        <f t="shared" si="576"/>
        <v>1412.8252998457201</v>
      </c>
      <c r="AJ44" s="59">
        <f t="shared" si="577"/>
        <v>23607</v>
      </c>
      <c r="AK44" s="59">
        <f t="shared" si="578"/>
        <v>16.795091728430599</v>
      </c>
      <c r="AL44" s="59">
        <v>2023.0699999999999</v>
      </c>
      <c r="AM44" s="59">
        <v>39</v>
      </c>
      <c r="AN44" s="62">
        <v>1</v>
      </c>
      <c r="AO44" s="59">
        <f t="shared" si="579"/>
        <v>227.86545940419299</v>
      </c>
      <c r="AP44" s="59"/>
      <c r="AQ44" s="59"/>
      <c r="AR44" s="59">
        <v>23089</v>
      </c>
      <c r="AS44" s="59">
        <f t="shared" si="580"/>
        <v>316.27510687931601</v>
      </c>
      <c r="AT44" s="189">
        <v>0.46999999999999997</v>
      </c>
      <c r="AU44" s="59">
        <f t="shared" si="581"/>
        <v>341.26768601630198</v>
      </c>
      <c r="AV44" s="59">
        <v>2</v>
      </c>
      <c r="AW44" s="59">
        <f t="shared" si="582"/>
        <v>2000</v>
      </c>
      <c r="AX44" s="59"/>
      <c r="AY44" s="62">
        <v>84.799999999999997</v>
      </c>
      <c r="AZ44" s="62" t="s">
        <v>442</v>
      </c>
      <c r="BA44" s="59">
        <v>800</v>
      </c>
      <c r="BB44" s="59" t="s">
        <v>441</v>
      </c>
      <c r="BC44" s="59">
        <v>1000</v>
      </c>
      <c r="BD44" s="62">
        <v>34.006859267634397</v>
      </c>
      <c r="BE44" s="59">
        <f t="shared" si="583"/>
        <v>426.21288382656599</v>
      </c>
      <c r="BF44" s="62" t="e">
        <f>VLOOKUP(B44,'2022年项目库建设情况'!B:O,14,0)</f>
        <v>#N/A</v>
      </c>
      <c r="BG44" s="59" t="e">
        <f t="shared" si="584"/>
        <v>#N/A</v>
      </c>
      <c r="BH44" s="53" t="e">
        <f>ROUND(AI44+AD44+#REF!+#REF!+BE44+BG44,0)</f>
        <v>#REF!</v>
      </c>
      <c r="BI44" s="59" t="e">
        <f t="shared" si="585"/>
        <v>#REF!</v>
      </c>
      <c r="BJ44" s="167" t="e">
        <f t="shared" si="586"/>
        <v>#REF!</v>
      </c>
      <c r="BK44" s="170">
        <f t="shared" si="587"/>
        <v>10270.469541976399</v>
      </c>
      <c r="BL44" s="59">
        <v>9459</v>
      </c>
      <c r="BM44" s="59">
        <f t="shared" si="588"/>
        <v>8589.3541840183007</v>
      </c>
      <c r="BN44" s="59">
        <f t="shared" si="589"/>
        <v>1681.1153579581101</v>
      </c>
      <c r="BO44" s="43">
        <f t="shared" si="492"/>
        <v>0.19572080996334501</v>
      </c>
    </row>
    <row r="45" s="5" customFormat="1" ht="17" customHeight="1">
      <c r="A45" s="46">
        <v>22</v>
      </c>
      <c r="B45" s="82" t="s">
        <v>95</v>
      </c>
      <c r="C45" s="46" t="s">
        <v>93</v>
      </c>
      <c r="D45" s="46">
        <v>2020</v>
      </c>
      <c r="E45" s="46" t="s">
        <v>94</v>
      </c>
      <c r="F45" s="46"/>
      <c r="G45" s="73" t="e">
        <f>VLOOKUP(B:B,#REF!,2,0)</f>
        <v>#REF!</v>
      </c>
      <c r="H45" s="73" t="e">
        <f t="shared" si="567"/>
        <v>#REF!</v>
      </c>
      <c r="I45" s="59" t="e">
        <f>VLOOKUP(B45,#REF!,4,0)</f>
        <v>#REF!</v>
      </c>
      <c r="J45" s="59" t="e">
        <f>VLOOKUP(B45,#REF!,2,0)</f>
        <v>#REF!</v>
      </c>
      <c r="K45" s="73" t="e">
        <f t="shared" si="568"/>
        <v>#REF!</v>
      </c>
      <c r="L45" s="73" t="e">
        <f t="shared" si="569"/>
        <v>#REF!</v>
      </c>
      <c r="M45" s="59">
        <v>97581</v>
      </c>
      <c r="N45" s="59">
        <v>27053</v>
      </c>
      <c r="O45" s="73">
        <f>440617-118</f>
        <v>440499</v>
      </c>
      <c r="P45" s="59">
        <f t="shared" si="556"/>
        <v>440499</v>
      </c>
      <c r="Q45" s="59">
        <f t="shared" si="557"/>
        <v>0</v>
      </c>
      <c r="R45" s="59">
        <f t="shared" si="558"/>
        <v>0</v>
      </c>
      <c r="S45" s="59">
        <f t="shared" si="559"/>
        <v>0</v>
      </c>
      <c r="T45" s="59">
        <f t="shared" si="560"/>
        <v>0</v>
      </c>
      <c r="U45" s="59">
        <f t="shared" si="561"/>
        <v>440499</v>
      </c>
      <c r="V45" s="59">
        <v>69400</v>
      </c>
      <c r="W45" s="59">
        <f t="shared" si="570"/>
        <v>69400</v>
      </c>
      <c r="X45" s="59">
        <v>57501</v>
      </c>
      <c r="Y45" s="59">
        <f t="shared" si="571"/>
        <v>47275</v>
      </c>
      <c r="Z45" s="59">
        <v>14177</v>
      </c>
      <c r="AA45" s="59">
        <v>33098</v>
      </c>
      <c r="AB45" s="59"/>
      <c r="AC45" s="59">
        <v>11722</v>
      </c>
      <c r="AD45" s="59">
        <f t="shared" si="572"/>
        <v>34312.583734369502</v>
      </c>
      <c r="AE45" s="59">
        <v>10690.68</v>
      </c>
      <c r="AF45" s="62">
        <f t="shared" si="573"/>
        <v>0.80165305259624797</v>
      </c>
      <c r="AG45" s="62">
        <f t="shared" si="574"/>
        <v>40.876208986577403</v>
      </c>
      <c r="AH45" s="62">
        <f t="shared" si="575"/>
        <v>40.876208986577403</v>
      </c>
      <c r="AI45" s="59">
        <f t="shared" si="576"/>
        <v>12184.2571876487</v>
      </c>
      <c r="AJ45" s="59">
        <f t="shared" si="577"/>
        <v>440499</v>
      </c>
      <c r="AK45" s="59">
        <f t="shared" si="578"/>
        <v>313.39099043851201</v>
      </c>
      <c r="AL45" s="59">
        <v>63245.419000000002</v>
      </c>
      <c r="AM45" s="59">
        <v>153</v>
      </c>
      <c r="AN45" s="62">
        <v>0.82168925964546402</v>
      </c>
      <c r="AO45" s="59">
        <f t="shared" si="579"/>
        <v>7123.5530434664597</v>
      </c>
      <c r="AP45" s="59"/>
      <c r="AQ45" s="59"/>
      <c r="AR45" s="59">
        <v>294685</v>
      </c>
      <c r="AS45" s="59">
        <f t="shared" si="580"/>
        <v>4036.6204630226998</v>
      </c>
      <c r="AT45" s="189">
        <v>4.9400000000000004</v>
      </c>
      <c r="AU45" s="59">
        <f t="shared" si="581"/>
        <v>3586.9412104692201</v>
      </c>
      <c r="AV45" s="59">
        <v>2</v>
      </c>
      <c r="AW45" s="59">
        <f t="shared" si="582"/>
        <v>2000</v>
      </c>
      <c r="AX45" s="59">
        <v>23912</v>
      </c>
      <c r="AY45" s="62">
        <v>72.629999999999995</v>
      </c>
      <c r="AZ45" s="62" t="s">
        <v>440</v>
      </c>
      <c r="BA45" s="59"/>
      <c r="BB45" s="59" t="s">
        <v>441</v>
      </c>
      <c r="BC45" s="59">
        <v>1000</v>
      </c>
      <c r="BD45" s="62">
        <v>36.212081226643598</v>
      </c>
      <c r="BE45" s="59">
        <f t="shared" si="583"/>
        <v>453.85124946421598</v>
      </c>
      <c r="BF45" s="62" t="e">
        <f>VLOOKUP(B45,'2022年项目库建设情况'!B:O,14,0)</f>
        <v>#N/A</v>
      </c>
      <c r="BG45" s="59" t="e">
        <f t="shared" si="584"/>
        <v>#N/A</v>
      </c>
      <c r="BH45" s="53" t="e">
        <f>ROUND(AI45+AD45+#REF!+#REF!+BE45+BG45,0)</f>
        <v>#REF!</v>
      </c>
      <c r="BI45" s="59" t="e">
        <f t="shared" si="585"/>
        <v>#REF!</v>
      </c>
      <c r="BJ45" s="167" t="e">
        <f t="shared" si="586"/>
        <v>#REF!</v>
      </c>
      <c r="BK45" s="170">
        <f t="shared" si="587"/>
        <v>88609.806888440799</v>
      </c>
      <c r="BL45" s="59">
        <v>97581</v>
      </c>
      <c r="BM45" s="59">
        <f t="shared" si="588"/>
        <v>88609.553930720998</v>
      </c>
      <c r="BN45" s="59">
        <f t="shared" si="589"/>
        <v>0.25295771988749</v>
      </c>
      <c r="BO45" s="43">
        <f t="shared" si="492"/>
        <v>2.85474543845762e-006</v>
      </c>
      <c r="BP45" s="4"/>
    </row>
    <row r="46" ht="17" customHeight="1">
      <c r="A46" s="46">
        <v>23</v>
      </c>
      <c r="B46" s="82" t="s">
        <v>96</v>
      </c>
      <c r="C46" s="46" t="s">
        <v>93</v>
      </c>
      <c r="D46" s="46">
        <v>2019</v>
      </c>
      <c r="E46" s="46" t="s">
        <v>94</v>
      </c>
      <c r="F46" s="46"/>
      <c r="G46" s="73" t="e">
        <f>VLOOKUP(B:B,#REF!,2,0)</f>
        <v>#REF!</v>
      </c>
      <c r="H46" s="73" t="e">
        <f t="shared" si="567"/>
        <v>#REF!</v>
      </c>
      <c r="I46" s="59" t="e">
        <f>VLOOKUP(B46,#REF!,4,0)</f>
        <v>#REF!</v>
      </c>
      <c r="J46" s="59" t="e">
        <f>VLOOKUP(B46,#REF!,2,0)</f>
        <v>#REF!</v>
      </c>
      <c r="K46" s="73" t="e">
        <f t="shared" si="568"/>
        <v>#REF!</v>
      </c>
      <c r="L46" s="73" t="e">
        <f t="shared" si="569"/>
        <v>#REF!</v>
      </c>
      <c r="M46" s="59">
        <v>42089</v>
      </c>
      <c r="N46" s="59">
        <v>5515</v>
      </c>
      <c r="O46" s="73">
        <f>210338-4255-1915</f>
        <v>204168</v>
      </c>
      <c r="P46" s="59">
        <f t="shared" si="556"/>
        <v>163334.39999999999</v>
      </c>
      <c r="Q46" s="59">
        <f t="shared" si="557"/>
        <v>0</v>
      </c>
      <c r="R46" s="59">
        <f t="shared" si="558"/>
        <v>0</v>
      </c>
      <c r="S46" s="59">
        <f t="shared" si="559"/>
        <v>0</v>
      </c>
      <c r="T46" s="59">
        <f t="shared" si="560"/>
        <v>163334.39999999999</v>
      </c>
      <c r="U46" s="59">
        <f t="shared" si="561"/>
        <v>0</v>
      </c>
      <c r="V46" s="59">
        <v>32031</v>
      </c>
      <c r="W46" s="59">
        <f t="shared" si="570"/>
        <v>32031</v>
      </c>
      <c r="X46" s="59">
        <v>44470</v>
      </c>
      <c r="Y46" s="59">
        <f t="shared" si="571"/>
        <v>24626</v>
      </c>
      <c r="Z46" s="59"/>
      <c r="AA46" s="59">
        <v>24626</v>
      </c>
      <c r="AB46" s="59"/>
      <c r="AC46" s="59">
        <v>7317</v>
      </c>
      <c r="AD46" s="59">
        <f t="shared" si="572"/>
        <v>18113.614398169299</v>
      </c>
      <c r="AE46" s="59">
        <v>10239.68</v>
      </c>
      <c r="AF46" s="62">
        <f t="shared" si="573"/>
        <v>0.87442996795233796</v>
      </c>
      <c r="AG46" s="62">
        <f t="shared" si="574"/>
        <v>20.6539484000374</v>
      </c>
      <c r="AH46" s="62">
        <f t="shared" si="575"/>
        <v>20.6539484000374</v>
      </c>
      <c r="AI46" s="59">
        <f t="shared" si="576"/>
        <v>6156.46669506749</v>
      </c>
      <c r="AJ46" s="59">
        <f t="shared" si="577"/>
        <v>163334.39999999999</v>
      </c>
      <c r="AK46" s="59">
        <f t="shared" si="578"/>
        <v>116.203508722336</v>
      </c>
      <c r="AL46" s="59">
        <v>25700.77</v>
      </c>
      <c r="AM46" s="59">
        <v>14</v>
      </c>
      <c r="AN46" s="62">
        <v>0.84999728058884305</v>
      </c>
      <c r="AO46" s="59">
        <f t="shared" si="579"/>
        <v>2894.7677357142902</v>
      </c>
      <c r="AP46" s="59"/>
      <c r="AQ46" s="59"/>
      <c r="AR46" s="59">
        <v>137420</v>
      </c>
      <c r="AS46" s="59">
        <f t="shared" si="580"/>
        <v>1882.39097350927</v>
      </c>
      <c r="AT46" s="189">
        <v>1.8100000000000001</v>
      </c>
      <c r="AU46" s="59">
        <f t="shared" si="581"/>
        <v>1314.2436418925699</v>
      </c>
      <c r="AV46" s="59">
        <v>2</v>
      </c>
      <c r="AW46" s="59">
        <f t="shared" si="582"/>
        <v>2000</v>
      </c>
      <c r="AX46" s="59">
        <v>4666</v>
      </c>
      <c r="AY46" s="62">
        <v>76.730000000000004</v>
      </c>
      <c r="AZ46" s="62" t="s">
        <v>440</v>
      </c>
      <c r="BA46" s="59"/>
      <c r="BB46" s="59" t="s">
        <v>441</v>
      </c>
      <c r="BC46" s="59">
        <v>1000</v>
      </c>
      <c r="BD46" s="62">
        <v>15.3426445109955</v>
      </c>
      <c r="BE46" s="59">
        <f t="shared" si="583"/>
        <v>192.291581856866</v>
      </c>
      <c r="BF46" s="62" t="e">
        <f>VLOOKUP(B46,'2022年项目库建设情况'!B:O,14,0)</f>
        <v>#N/A</v>
      </c>
      <c r="BG46" s="59" t="e">
        <f t="shared" si="584"/>
        <v>#N/A</v>
      </c>
      <c r="BH46" s="53" t="e">
        <f>ROUND(AI46+AD46+#REF!+#REF!+BE46+BG46,0)</f>
        <v>#REF!</v>
      </c>
      <c r="BI46" s="59" t="e">
        <f t="shared" si="585"/>
        <v>#REF!</v>
      </c>
      <c r="BJ46" s="167" t="e">
        <f t="shared" si="586"/>
        <v>#REF!</v>
      </c>
      <c r="BK46" s="170">
        <f t="shared" si="587"/>
        <v>38219.775026209703</v>
      </c>
      <c r="BL46" s="59">
        <v>42089</v>
      </c>
      <c r="BM46" s="59">
        <f t="shared" si="588"/>
        <v>38219.402500385499</v>
      </c>
      <c r="BN46" s="59">
        <f t="shared" si="589"/>
        <v>0.37252582426299302</v>
      </c>
      <c r="BO46" s="43">
        <f t="shared" si="492"/>
        <v>9.7470342258552093e-006</v>
      </c>
    </row>
    <row r="47" ht="17" customHeight="1">
      <c r="A47" s="46">
        <v>24</v>
      </c>
      <c r="B47" s="82" t="s">
        <v>97</v>
      </c>
      <c r="C47" s="46" t="s">
        <v>90</v>
      </c>
      <c r="D47" s="46">
        <v>2018</v>
      </c>
      <c r="E47" s="46" t="s">
        <v>91</v>
      </c>
      <c r="F47" s="46"/>
      <c r="G47" s="73" t="e">
        <f>VLOOKUP(B:B,#REF!,2,0)</f>
        <v>#REF!</v>
      </c>
      <c r="H47" s="73" t="e">
        <f t="shared" si="567"/>
        <v>#REF!</v>
      </c>
      <c r="I47" s="59" t="e">
        <f>VLOOKUP(B47,#REF!,4,0)</f>
        <v>#REF!</v>
      </c>
      <c r="J47" s="59" t="e">
        <f>VLOOKUP(B47,#REF!,2,0)</f>
        <v>#REF!</v>
      </c>
      <c r="K47" s="73" t="e">
        <f t="shared" si="568"/>
        <v>#REF!</v>
      </c>
      <c r="L47" s="73" t="e">
        <f t="shared" si="569"/>
        <v>#REF!</v>
      </c>
      <c r="M47" s="59">
        <v>12408</v>
      </c>
      <c r="N47" s="59">
        <v>1788</v>
      </c>
      <c r="O47" s="73">
        <v>56739</v>
      </c>
      <c r="P47" s="59">
        <f t="shared" si="556"/>
        <v>34043.400000000001</v>
      </c>
      <c r="Q47" s="59">
        <f t="shared" si="557"/>
        <v>0</v>
      </c>
      <c r="R47" s="59">
        <f t="shared" si="558"/>
        <v>0</v>
      </c>
      <c r="S47" s="59">
        <f t="shared" si="559"/>
        <v>34043.400000000001</v>
      </c>
      <c r="T47" s="59">
        <f t="shared" si="560"/>
        <v>0</v>
      </c>
      <c r="U47" s="59">
        <f t="shared" si="561"/>
        <v>0</v>
      </c>
      <c r="V47" s="59">
        <v>9593</v>
      </c>
      <c r="W47" s="59">
        <f t="shared" si="570"/>
        <v>9593</v>
      </c>
      <c r="X47" s="59">
        <v>16255</v>
      </c>
      <c r="Y47" s="59">
        <f t="shared" si="571"/>
        <v>3870</v>
      </c>
      <c r="Z47" s="59">
        <v>3870</v>
      </c>
      <c r="AA47" s="59"/>
      <c r="AB47" s="59"/>
      <c r="AC47" s="59">
        <v>1345</v>
      </c>
      <c r="AD47" s="59">
        <f t="shared" si="572"/>
        <v>5385.5947538256896</v>
      </c>
      <c r="AE47" s="59">
        <v>11353.58</v>
      </c>
      <c r="AF47" s="62">
        <f t="shared" si="573"/>
        <v>0.69468228277462396</v>
      </c>
      <c r="AG47" s="62">
        <f t="shared" si="574"/>
        <v>4.60796651810064</v>
      </c>
      <c r="AH47" s="62">
        <f t="shared" si="575"/>
        <v>4.60796651810064</v>
      </c>
      <c r="AI47" s="59">
        <f t="shared" si="576"/>
        <v>1373.5287728626899</v>
      </c>
      <c r="AJ47" s="59">
        <f t="shared" si="577"/>
        <v>34043.400000000001</v>
      </c>
      <c r="AK47" s="59">
        <f t="shared" si="578"/>
        <v>24.220020576424599</v>
      </c>
      <c r="AL47" s="59">
        <v>2429.509732</v>
      </c>
      <c r="AM47" s="59">
        <v>89</v>
      </c>
      <c r="AN47" s="62">
        <v>0.79054673721340396</v>
      </c>
      <c r="AO47" s="59">
        <f t="shared" si="579"/>
        <v>273.64418987436801</v>
      </c>
      <c r="AP47" s="59"/>
      <c r="AQ47" s="59"/>
      <c r="AR47" s="59">
        <v>39627</v>
      </c>
      <c r="AS47" s="59">
        <f t="shared" si="580"/>
        <v>542.81405259243104</v>
      </c>
      <c r="AT47" s="189">
        <v>0.65000000000000002</v>
      </c>
      <c r="AU47" s="59">
        <f t="shared" si="581"/>
        <v>471.96594874595002</v>
      </c>
      <c r="AV47" s="59">
        <v>2</v>
      </c>
      <c r="AW47" s="59">
        <f t="shared" si="582"/>
        <v>2000</v>
      </c>
      <c r="AX47" s="59"/>
      <c r="AY47" s="62">
        <v>71.200000000000003</v>
      </c>
      <c r="AZ47" s="62" t="s">
        <v>440</v>
      </c>
      <c r="BA47" s="59"/>
      <c r="BB47" s="59" t="s">
        <v>441</v>
      </c>
      <c r="BC47" s="59">
        <v>1000</v>
      </c>
      <c r="BD47" s="62">
        <v>12.9721753201196</v>
      </c>
      <c r="BE47" s="59">
        <f t="shared" si="583"/>
        <v>162.58214877120599</v>
      </c>
      <c r="BF47" s="62" t="e">
        <f>VLOOKUP(B47,'2022年项目库建设情况'!B:O,14,0)</f>
        <v>#N/A</v>
      </c>
      <c r="BG47" s="59" t="e">
        <f t="shared" si="584"/>
        <v>#N/A</v>
      </c>
      <c r="BH47" s="53" t="e">
        <f>ROUND(AI47+AD47+#REF!+#REF!+BE47+BG47,0)</f>
        <v>#REF!</v>
      </c>
      <c r="BI47" s="59" t="e">
        <f t="shared" si="585"/>
        <v>#REF!</v>
      </c>
      <c r="BJ47" s="167" t="e">
        <f t="shared" si="586"/>
        <v>#REF!</v>
      </c>
      <c r="BK47" s="170">
        <f t="shared" si="587"/>
        <v>11210.1298666723</v>
      </c>
      <c r="BL47" s="59">
        <v>12408</v>
      </c>
      <c r="BM47" s="59">
        <f t="shared" si="588"/>
        <v>11267.2276895337</v>
      </c>
      <c r="BN47" s="59">
        <f t="shared" si="589"/>
        <v>-57.097822861344</v>
      </c>
      <c r="BO47" s="43">
        <f t="shared" si="492"/>
        <v>-5.0676017592493601e-003</v>
      </c>
    </row>
    <row r="48" ht="17" customHeight="1">
      <c r="A48" s="46">
        <v>25</v>
      </c>
      <c r="B48" s="82" t="s">
        <v>98</v>
      </c>
      <c r="C48" s="46" t="s">
        <v>78</v>
      </c>
      <c r="D48" s="46"/>
      <c r="E48" s="46"/>
      <c r="F48" s="46"/>
      <c r="G48" s="73" t="e">
        <f>VLOOKUP(B:B,#REF!,2,0)</f>
        <v>#REF!</v>
      </c>
      <c r="H48" s="73" t="e">
        <f t="shared" si="567"/>
        <v>#REF!</v>
      </c>
      <c r="I48" s="59" t="e">
        <f>VLOOKUP(B48,#REF!,4,0)</f>
        <v>#REF!</v>
      </c>
      <c r="J48" s="59" t="e">
        <f>VLOOKUP(B48,#REF!,2,0)</f>
        <v>#REF!</v>
      </c>
      <c r="K48" s="73" t="e">
        <f t="shared" si="568"/>
        <v>#REF!</v>
      </c>
      <c r="L48" s="73" t="e">
        <f t="shared" si="569"/>
        <v>#REF!</v>
      </c>
      <c r="M48" s="59">
        <v>1956</v>
      </c>
      <c r="N48" s="59">
        <v>162</v>
      </c>
      <c r="O48" s="73">
        <v>11311</v>
      </c>
      <c r="P48" s="59">
        <f t="shared" si="556"/>
        <v>2262.1999999999998</v>
      </c>
      <c r="Q48" s="59">
        <f t="shared" si="557"/>
        <v>2262.1999999999998</v>
      </c>
      <c r="R48" s="59">
        <f t="shared" si="558"/>
        <v>0</v>
      </c>
      <c r="S48" s="59">
        <f t="shared" si="559"/>
        <v>0</v>
      </c>
      <c r="T48" s="59">
        <f t="shared" si="560"/>
        <v>0</v>
      </c>
      <c r="U48" s="59">
        <f t="shared" si="561"/>
        <v>0</v>
      </c>
      <c r="V48" s="59">
        <v>392</v>
      </c>
      <c r="W48" s="59">
        <f t="shared" ref="W48:W54" si="590">V48*0.2</f>
        <v>78.400000000000006</v>
      </c>
      <c r="X48" s="59">
        <v>1691</v>
      </c>
      <c r="Y48" s="59">
        <f t="shared" si="571"/>
        <v>0</v>
      </c>
      <c r="Z48" s="59"/>
      <c r="AA48" s="59"/>
      <c r="AB48" s="59"/>
      <c r="AC48" s="59">
        <v>0</v>
      </c>
      <c r="AD48" s="59">
        <f t="shared" si="572"/>
        <v>527.67499382475899</v>
      </c>
      <c r="AE48" s="59">
        <v>10404.059999999999</v>
      </c>
      <c r="AF48" s="62">
        <f t="shared" si="573"/>
        <v>0.84790431529993504</v>
      </c>
      <c r="AG48" s="62">
        <f t="shared" si="574"/>
        <v>0.99230242019551396</v>
      </c>
      <c r="AH48" s="62">
        <f t="shared" ref="AH48:AH54" si="591">AG48*0.2</f>
        <v>0.19846048403910299</v>
      </c>
      <c r="AI48" s="59">
        <f t="shared" si="576"/>
        <v>59.156502989592703</v>
      </c>
      <c r="AJ48" s="59"/>
      <c r="AK48" s="59"/>
      <c r="AL48" s="59">
        <v>776.38</v>
      </c>
      <c r="AM48" s="59">
        <v>17</v>
      </c>
      <c r="AN48" s="62">
        <v>1</v>
      </c>
      <c r="AO48" s="59">
        <f t="shared" si="579"/>
        <v>87.446398479651094</v>
      </c>
      <c r="AP48" s="59"/>
      <c r="AQ48" s="59"/>
      <c r="AR48" s="59">
        <v>6866</v>
      </c>
      <c r="AS48" s="59">
        <f t="shared" si="580"/>
        <v>94.051058245631296</v>
      </c>
      <c r="AT48" s="189">
        <v>0.14000000000000001</v>
      </c>
      <c r="AU48" s="59">
        <f t="shared" si="581"/>
        <v>101.654204345282</v>
      </c>
      <c r="AV48" s="59">
        <v>1</v>
      </c>
      <c r="AW48" s="59">
        <f t="shared" si="582"/>
        <v>1000</v>
      </c>
      <c r="AX48" s="59"/>
      <c r="AY48" s="62">
        <v>77.060000000000002</v>
      </c>
      <c r="AZ48" s="62" t="s">
        <v>440</v>
      </c>
      <c r="BA48" s="59"/>
      <c r="BB48" s="59" t="s">
        <v>441</v>
      </c>
      <c r="BC48" s="59">
        <v>800</v>
      </c>
      <c r="BD48" s="62">
        <v>14.3192642876796</v>
      </c>
      <c r="BE48" s="59">
        <f t="shared" si="583"/>
        <v>179.46540956033499</v>
      </c>
      <c r="BF48" s="62" t="e">
        <f>VLOOKUP(B48,'2022年项目库建设情况'!B:O,14,0)</f>
        <v>#N/A</v>
      </c>
      <c r="BG48" s="59" t="e">
        <f t="shared" si="584"/>
        <v>#N/A</v>
      </c>
      <c r="BH48" s="53" t="e">
        <f>ROUND(AI48+AD48+#REF!+#REF!+BE48+BG48,0)</f>
        <v>#REF!</v>
      </c>
      <c r="BI48" s="59" t="e">
        <f t="shared" si="585"/>
        <v>#REF!</v>
      </c>
      <c r="BJ48" s="167" t="e">
        <f t="shared" si="586"/>
        <v>#REF!</v>
      </c>
      <c r="BK48" s="170">
        <f t="shared" si="587"/>
        <v>2849.4485674452499</v>
      </c>
      <c r="BL48" s="59">
        <v>1956</v>
      </c>
      <c r="BM48" s="59">
        <f t="shared" si="588"/>
        <v>1776.16838819535</v>
      </c>
      <c r="BN48" s="59">
        <f t="shared" si="589"/>
        <v>1073.2801792498999</v>
      </c>
      <c r="BO48" s="43">
        <f t="shared" si="492"/>
        <v>0.60426713276909205</v>
      </c>
    </row>
    <row r="49" s="64" customFormat="1" ht="17" customHeight="1">
      <c r="A49" s="65"/>
      <c r="B49" s="66" t="s">
        <v>99</v>
      </c>
      <c r="C49" s="67">
        <v>1</v>
      </c>
      <c r="D49" s="67"/>
      <c r="E49" s="67"/>
      <c r="F49" s="68"/>
      <c r="G49" s="69" t="e">
        <f t="shared" ref="G49:M49" si="592">G50+G51</f>
        <v>#REF!</v>
      </c>
      <c r="H49" s="69" t="e">
        <f t="shared" si="592"/>
        <v>#REF!</v>
      </c>
      <c r="I49" s="69" t="e">
        <f t="shared" si="592"/>
        <v>#REF!</v>
      </c>
      <c r="J49" s="69" t="e">
        <f t="shared" si="592"/>
        <v>#REF!</v>
      </c>
      <c r="K49" s="69" t="e">
        <f t="shared" si="592"/>
        <v>#REF!</v>
      </c>
      <c r="L49" s="69" t="e">
        <f t="shared" si="592"/>
        <v>#REF!</v>
      </c>
      <c r="M49" s="69">
        <f t="shared" si="592"/>
        <v>135177</v>
      </c>
      <c r="N49" s="69">
        <v>24641</v>
      </c>
      <c r="O49" s="69">
        <f t="shared" ref="O49:AD49" si="593">O50+O51</f>
        <v>740646</v>
      </c>
      <c r="P49" s="69">
        <f t="shared" si="593"/>
        <v>561552.80000000005</v>
      </c>
      <c r="Q49" s="69">
        <f t="shared" si="593"/>
        <v>15699.799999999999</v>
      </c>
      <c r="R49" s="69">
        <f t="shared" si="593"/>
        <v>14656</v>
      </c>
      <c r="S49" s="69">
        <f t="shared" si="593"/>
        <v>96456</v>
      </c>
      <c r="T49" s="69">
        <f t="shared" si="593"/>
        <v>120024</v>
      </c>
      <c r="U49" s="69">
        <f t="shared" si="593"/>
        <v>314717</v>
      </c>
      <c r="V49" s="69">
        <f t="shared" si="593"/>
        <v>94118</v>
      </c>
      <c r="W49" s="69">
        <f t="shared" si="593"/>
        <v>78006.600000000006</v>
      </c>
      <c r="X49" s="69">
        <f t="shared" si="593"/>
        <v>156823</v>
      </c>
      <c r="Y49" s="69">
        <f t="shared" si="593"/>
        <v>75263</v>
      </c>
      <c r="Z49" s="69">
        <f t="shared" si="593"/>
        <v>0</v>
      </c>
      <c r="AA49" s="69">
        <f t="shared" si="593"/>
        <v>75263</v>
      </c>
      <c r="AB49" s="69">
        <f t="shared" si="593"/>
        <v>0</v>
      </c>
      <c r="AC49" s="69">
        <f t="shared" si="593"/>
        <v>13880</v>
      </c>
      <c r="AD49" s="69">
        <f t="shared" si="593"/>
        <v>55454.900806816302</v>
      </c>
      <c r="AE49" s="69"/>
      <c r="AF49" s="69">
        <f t="shared" ref="AF49:AL49" si="594">AF50+AF51</f>
        <v>6.0643067151630996</v>
      </c>
      <c r="AG49" s="69">
        <f t="shared" si="594"/>
        <v>63.754647544142202</v>
      </c>
      <c r="AH49" s="69">
        <f t="shared" si="594"/>
        <v>55.004728434554004</v>
      </c>
      <c r="AI49" s="69">
        <f t="shared" si="594"/>
        <v>16395.643686121999</v>
      </c>
      <c r="AJ49" s="69">
        <f t="shared" si="594"/>
        <v>492518</v>
      </c>
      <c r="AK49" s="69">
        <f t="shared" si="594"/>
        <v>350.39966907710402</v>
      </c>
      <c r="AL49" s="69">
        <f t="shared" si="594"/>
        <v>48597.519</v>
      </c>
      <c r="AM49" s="69">
        <v>411</v>
      </c>
      <c r="AN49" s="71">
        <v>9</v>
      </c>
      <c r="AO49" s="69">
        <f t="shared" ref="AO49:AX49" si="595">AO50+AO51</f>
        <v>5473.7087658059399</v>
      </c>
      <c r="AP49" s="69">
        <f t="shared" si="595"/>
        <v>0</v>
      </c>
      <c r="AQ49" s="69"/>
      <c r="AR49" s="69">
        <f t="shared" si="595"/>
        <v>406979</v>
      </c>
      <c r="AS49" s="69">
        <f t="shared" si="595"/>
        <v>5574.8333285389999</v>
      </c>
      <c r="AT49" s="69">
        <f t="shared" si="595"/>
        <v>7.6399999999999997</v>
      </c>
      <c r="AU49" s="69">
        <f t="shared" si="595"/>
        <v>5547.4151514139403</v>
      </c>
      <c r="AV49" s="69">
        <f t="shared" si="595"/>
        <v>6</v>
      </c>
      <c r="AW49" s="69">
        <f t="shared" si="595"/>
        <v>6000</v>
      </c>
      <c r="AX49" s="69">
        <f t="shared" si="595"/>
        <v>26590</v>
      </c>
      <c r="AY49" s="71"/>
      <c r="AZ49" s="69">
        <f t="shared" ref="AZ49:BK49" si="596">AZ50+AZ51</f>
        <v>0</v>
      </c>
      <c r="BA49" s="69">
        <f t="shared" si="596"/>
        <v>1500</v>
      </c>
      <c r="BB49" s="69"/>
      <c r="BC49" s="69">
        <f t="shared" si="596"/>
        <v>3400</v>
      </c>
      <c r="BD49" s="71">
        <f t="shared" si="596"/>
        <v>234.655536470436</v>
      </c>
      <c r="BE49" s="69">
        <f t="shared" si="596"/>
        <v>2940.9717644851899</v>
      </c>
      <c r="BF49" s="71" t="e">
        <f t="shared" si="596"/>
        <v>#N/A</v>
      </c>
      <c r="BG49" s="69" t="e">
        <f t="shared" si="596"/>
        <v>#N/A</v>
      </c>
      <c r="BH49" s="70" t="e">
        <f t="shared" si="596"/>
        <v>#REF!</v>
      </c>
      <c r="BI49" s="70" t="e">
        <f t="shared" si="596"/>
        <v>#REF!</v>
      </c>
      <c r="BJ49" s="183" t="e">
        <f t="shared" si="596"/>
        <v>#REF!</v>
      </c>
      <c r="BK49" s="184">
        <f t="shared" si="596"/>
        <v>128877.473503182</v>
      </c>
      <c r="BL49" s="69">
        <v>135177</v>
      </c>
      <c r="BM49" s="184">
        <f>BM50+BM51</f>
        <v>122749.035895236</v>
      </c>
      <c r="BN49" s="184">
        <f>BN50+BN51</f>
        <v>6128.4376079459698</v>
      </c>
      <c r="BO49" s="43">
        <f t="shared" si="492"/>
        <v>4.9926564092743299e-002</v>
      </c>
      <c r="BP49" s="185"/>
    </row>
    <row r="50" s="5" customFormat="1" ht="17" customHeight="1">
      <c r="A50" s="44"/>
      <c r="B50" s="72" t="s">
        <v>100</v>
      </c>
      <c r="C50" s="46">
        <v>2</v>
      </c>
      <c r="D50" s="46"/>
      <c r="E50" s="46"/>
      <c r="F50" s="46"/>
      <c r="G50" s="73"/>
      <c r="H50" s="73"/>
      <c r="I50" s="73"/>
      <c r="J50" s="73"/>
      <c r="K50" s="73"/>
      <c r="L50" s="73"/>
      <c r="M50" s="73"/>
      <c r="N50" s="73"/>
      <c r="O50" s="73"/>
      <c r="P50" s="59">
        <f t="shared" ref="P50:P60" si="597">SUM(Q50:U50)</f>
        <v>0</v>
      </c>
      <c r="Q50" s="59">
        <f t="shared" ref="Q50:Q60" si="598">IF(D50="",O50*0.2,0)</f>
        <v>0</v>
      </c>
      <c r="R50" s="59">
        <f t="shared" ref="R50:R60" si="599">IF(D50=2017,O50*0.4,0)</f>
        <v>0</v>
      </c>
      <c r="S50" s="59">
        <f t="shared" ref="S50:S60" si="600">IF(D50=2018,O50*0.6,0)</f>
        <v>0</v>
      </c>
      <c r="T50" s="59">
        <f t="shared" ref="T50:T60" si="601">IF(D50=2019,O50*0.8,0)</f>
        <v>0</v>
      </c>
      <c r="U50" s="59">
        <f t="shared" ref="U50:U60" si="602">IF(D50=2020,O50*1,0)</f>
        <v>0</v>
      </c>
      <c r="V50" s="59"/>
      <c r="W50" s="59"/>
      <c r="X50" s="59"/>
      <c r="Y50" s="59">
        <f>T50*0.4+U50*0.6+V50*0.8+X50*1</f>
        <v>0</v>
      </c>
      <c r="Z50" s="59"/>
      <c r="AA50" s="59"/>
      <c r="AB50" s="59"/>
      <c r="AC50" s="59"/>
      <c r="AD50" s="59"/>
      <c r="AE50" s="59"/>
      <c r="AF50" s="62"/>
      <c r="AG50" s="62"/>
      <c r="AH50" s="62"/>
      <c r="AI50" s="59"/>
      <c r="AJ50" s="59"/>
      <c r="AK50" s="59"/>
      <c r="AL50" s="59"/>
      <c r="AM50" s="59"/>
      <c r="AN50" s="62"/>
      <c r="AO50" s="59"/>
      <c r="AP50" s="59"/>
      <c r="AQ50" s="59"/>
      <c r="AR50" s="59"/>
      <c r="AS50" s="59"/>
      <c r="AT50" s="59"/>
      <c r="AU50" s="59"/>
      <c r="AV50" s="59"/>
      <c r="AW50" s="59"/>
      <c r="AX50" s="59"/>
      <c r="AY50" s="62"/>
      <c r="AZ50" s="62"/>
      <c r="BA50" s="59"/>
      <c r="BB50" s="59"/>
      <c r="BC50" s="59"/>
      <c r="BD50" s="62"/>
      <c r="BE50" s="59"/>
      <c r="BF50" s="62"/>
      <c r="BG50" s="59"/>
      <c r="BH50" s="53"/>
      <c r="BI50" s="59"/>
      <c r="BJ50" s="182"/>
      <c r="BK50" s="170"/>
      <c r="BL50" s="73"/>
      <c r="BM50" s="170"/>
      <c r="BN50" s="50"/>
      <c r="BO50" s="43"/>
      <c r="BP50" s="4"/>
    </row>
    <row r="51" s="74" customFormat="1" ht="17" customHeight="1">
      <c r="A51" s="75"/>
      <c r="B51" s="76" t="s">
        <v>76</v>
      </c>
      <c r="C51" s="77">
        <v>3</v>
      </c>
      <c r="D51" s="77"/>
      <c r="E51" s="77"/>
      <c r="F51" s="78"/>
      <c r="G51" s="79" t="e">
        <f t="shared" ref="G51:M51" si="603">SUM(G52:G60)</f>
        <v>#REF!</v>
      </c>
      <c r="H51" s="79" t="e">
        <f t="shared" si="603"/>
        <v>#REF!</v>
      </c>
      <c r="I51" s="79" t="e">
        <f t="shared" si="603"/>
        <v>#REF!</v>
      </c>
      <c r="J51" s="79" t="e">
        <f t="shared" si="603"/>
        <v>#REF!</v>
      </c>
      <c r="K51" s="79" t="e">
        <f t="shared" si="603"/>
        <v>#REF!</v>
      </c>
      <c r="L51" s="79" t="e">
        <f t="shared" si="603"/>
        <v>#REF!</v>
      </c>
      <c r="M51" s="79">
        <f t="shared" si="603"/>
        <v>135177</v>
      </c>
      <c r="N51" s="79">
        <v>24641</v>
      </c>
      <c r="O51" s="79">
        <f t="shared" ref="O51:AD51" si="604">SUM(O52:O60)</f>
        <v>740646</v>
      </c>
      <c r="P51" s="79">
        <f t="shared" si="604"/>
        <v>561552.80000000005</v>
      </c>
      <c r="Q51" s="79">
        <f t="shared" si="604"/>
        <v>15699.799999999999</v>
      </c>
      <c r="R51" s="79">
        <f t="shared" si="604"/>
        <v>14656</v>
      </c>
      <c r="S51" s="79">
        <f t="shared" si="604"/>
        <v>96456</v>
      </c>
      <c r="T51" s="79">
        <f t="shared" si="604"/>
        <v>120024</v>
      </c>
      <c r="U51" s="79">
        <f t="shared" si="604"/>
        <v>314717</v>
      </c>
      <c r="V51" s="79">
        <f t="shared" si="604"/>
        <v>94118</v>
      </c>
      <c r="W51" s="79">
        <f t="shared" si="604"/>
        <v>78006.600000000006</v>
      </c>
      <c r="X51" s="79">
        <f t="shared" si="604"/>
        <v>156823</v>
      </c>
      <c r="Y51" s="79">
        <f t="shared" si="604"/>
        <v>75263</v>
      </c>
      <c r="Z51" s="79">
        <f t="shared" si="604"/>
        <v>0</v>
      </c>
      <c r="AA51" s="79">
        <f t="shared" si="604"/>
        <v>75263</v>
      </c>
      <c r="AB51" s="79">
        <f t="shared" si="604"/>
        <v>0</v>
      </c>
      <c r="AC51" s="79">
        <f t="shared" si="604"/>
        <v>13880</v>
      </c>
      <c r="AD51" s="79">
        <f t="shared" si="604"/>
        <v>55454.900806816302</v>
      </c>
      <c r="AE51" s="79"/>
      <c r="AF51" s="79">
        <f t="shared" ref="AF51:AL51" si="605">SUM(AF52:AF60)</f>
        <v>6.0643067151630996</v>
      </c>
      <c r="AG51" s="79">
        <f t="shared" si="605"/>
        <v>63.754647544142202</v>
      </c>
      <c r="AH51" s="79">
        <f t="shared" si="605"/>
        <v>55.004728434554004</v>
      </c>
      <c r="AI51" s="79">
        <f t="shared" si="605"/>
        <v>16395.643686121999</v>
      </c>
      <c r="AJ51" s="79">
        <f t="shared" si="605"/>
        <v>492518</v>
      </c>
      <c r="AK51" s="79">
        <f t="shared" si="605"/>
        <v>350.39966907710402</v>
      </c>
      <c r="AL51" s="79">
        <f t="shared" si="605"/>
        <v>48597.519</v>
      </c>
      <c r="AM51" s="79">
        <v>411</v>
      </c>
      <c r="AN51" s="81">
        <v>9</v>
      </c>
      <c r="AO51" s="79">
        <f t="shared" ref="AO51:AX51" si="606">SUM(AO52:AO60)</f>
        <v>5473.7087658059399</v>
      </c>
      <c r="AP51" s="79">
        <f t="shared" si="606"/>
        <v>0</v>
      </c>
      <c r="AQ51" s="79"/>
      <c r="AR51" s="79">
        <f t="shared" si="606"/>
        <v>406979</v>
      </c>
      <c r="AS51" s="79">
        <f t="shared" si="606"/>
        <v>5574.8333285389999</v>
      </c>
      <c r="AT51" s="79">
        <f t="shared" si="606"/>
        <v>7.6399999999999997</v>
      </c>
      <c r="AU51" s="79">
        <f t="shared" si="606"/>
        <v>5547.4151514139403</v>
      </c>
      <c r="AV51" s="79">
        <f t="shared" si="606"/>
        <v>6</v>
      </c>
      <c r="AW51" s="79">
        <f t="shared" si="606"/>
        <v>6000</v>
      </c>
      <c r="AX51" s="79">
        <f t="shared" si="606"/>
        <v>26590</v>
      </c>
      <c r="AY51" s="81"/>
      <c r="AZ51" s="79">
        <f t="shared" ref="AZ51:BK51" si="607">SUM(AZ52:AZ60)</f>
        <v>0</v>
      </c>
      <c r="BA51" s="79">
        <f t="shared" si="607"/>
        <v>1500</v>
      </c>
      <c r="BB51" s="79"/>
      <c r="BC51" s="79">
        <f t="shared" si="607"/>
        <v>3400</v>
      </c>
      <c r="BD51" s="81">
        <f t="shared" si="607"/>
        <v>234.655536470436</v>
      </c>
      <c r="BE51" s="79">
        <f t="shared" si="607"/>
        <v>2940.9717644851899</v>
      </c>
      <c r="BF51" s="81" t="e">
        <f t="shared" si="607"/>
        <v>#N/A</v>
      </c>
      <c r="BG51" s="79" t="e">
        <f t="shared" si="607"/>
        <v>#N/A</v>
      </c>
      <c r="BH51" s="80" t="e">
        <f t="shared" si="607"/>
        <v>#REF!</v>
      </c>
      <c r="BI51" s="80" t="e">
        <f t="shared" si="607"/>
        <v>#REF!</v>
      </c>
      <c r="BJ51" s="186" t="e">
        <f t="shared" si="607"/>
        <v>#REF!</v>
      </c>
      <c r="BK51" s="187">
        <f t="shared" si="607"/>
        <v>128877.473503182</v>
      </c>
      <c r="BL51" s="79">
        <v>135177</v>
      </c>
      <c r="BM51" s="187">
        <f>SUM(BM52:BM60)</f>
        <v>122749.035895236</v>
      </c>
      <c r="BN51" s="187">
        <f>SUM(BN52:BN60)</f>
        <v>6128.4376079459698</v>
      </c>
      <c r="BO51" s="43">
        <f t="shared" si="492"/>
        <v>4.9926564092743299e-002</v>
      </c>
      <c r="BP51" s="188"/>
    </row>
    <row r="52" ht="17" customHeight="1">
      <c r="A52" s="46">
        <v>26</v>
      </c>
      <c r="B52" s="82" t="s">
        <v>101</v>
      </c>
      <c r="C52" s="46" t="s">
        <v>78</v>
      </c>
      <c r="D52" s="46"/>
      <c r="E52" s="46"/>
      <c r="F52" s="46"/>
      <c r="G52" s="73" t="e">
        <f>VLOOKUP(B:B,#REF!,2,0)</f>
        <v>#REF!</v>
      </c>
      <c r="H52" s="73" t="e">
        <f t="shared" ref="H52:H60" si="608">G52*299423/381298.76</f>
        <v>#REF!</v>
      </c>
      <c r="I52" s="59" t="e">
        <f>VLOOKUP(B52,#REF!,4,0)</f>
        <v>#REF!</v>
      </c>
      <c r="J52" s="59" t="e">
        <f>VLOOKUP(B52,#REF!,2,0)</f>
        <v>#REF!</v>
      </c>
      <c r="K52" s="73" t="e">
        <f t="shared" ref="K52:K60" si="609">I52*1485211/1408452</f>
        <v>#REF!</v>
      </c>
      <c r="L52" s="73" t="e">
        <f t="shared" ref="L52:L60" si="610">J52*1485211/1408452</f>
        <v>#REF!</v>
      </c>
      <c r="M52" s="59">
        <v>2081</v>
      </c>
      <c r="N52" s="59">
        <v>255</v>
      </c>
      <c r="O52" s="73">
        <v>11313</v>
      </c>
      <c r="P52" s="59">
        <f t="shared" si="597"/>
        <v>2262.5999999999999</v>
      </c>
      <c r="Q52" s="59">
        <f t="shared" si="598"/>
        <v>2262.5999999999999</v>
      </c>
      <c r="R52" s="59">
        <f t="shared" si="599"/>
        <v>0</v>
      </c>
      <c r="S52" s="59">
        <f t="shared" si="600"/>
        <v>0</v>
      </c>
      <c r="T52" s="59">
        <f t="shared" si="601"/>
        <v>0</v>
      </c>
      <c r="U52" s="59">
        <f t="shared" si="602"/>
        <v>0</v>
      </c>
      <c r="V52" s="59">
        <v>1073</v>
      </c>
      <c r="W52" s="59">
        <f t="shared" si="590"/>
        <v>214.59999999999999</v>
      </c>
      <c r="X52" s="59">
        <v>618</v>
      </c>
      <c r="Y52" s="59">
        <f t="shared" ref="Y52:Y60" si="611">Z52+AA52+AB52*1.2</f>
        <v>0</v>
      </c>
      <c r="Z52" s="59"/>
      <c r="AA52" s="59"/>
      <c r="AB52" s="59"/>
      <c r="AC52" s="59">
        <v>253</v>
      </c>
      <c r="AD52" s="59">
        <f t="shared" ref="AD52:AD60" si="612">O52/$O$9*202299+W52/$W$9*134866+AC52/$AC$9*34867+X52/$X$9*100000</f>
        <v>504.105978672118</v>
      </c>
      <c r="AE52" s="59">
        <v>12050.25</v>
      </c>
      <c r="AF52" s="62">
        <f t="shared" ref="AF52:AF60" si="613">($AE$64-AE52)/($AE$64-$AE$44)</f>
        <v>0.58226211953487295</v>
      </c>
      <c r="AG52" s="62">
        <f t="shared" ref="AG52:AG60" si="614">(O52+V52)*AF52/10000</f>
        <v>0.72118986125589402</v>
      </c>
      <c r="AH52" s="62">
        <f t="shared" si="591"/>
        <v>0.14423797225117899</v>
      </c>
      <c r="AI52" s="59">
        <f t="shared" ref="AI52:AI60" si="615">AH52/$AH$9*1348663*0.1</f>
        <v>42.994020084161797</v>
      </c>
      <c r="AJ52" s="59"/>
      <c r="AK52" s="59"/>
      <c r="AL52" s="59">
        <v>334.39999999999998</v>
      </c>
      <c r="AM52" s="59">
        <v>69</v>
      </c>
      <c r="AN52" s="62">
        <v>1</v>
      </c>
      <c r="AO52" s="59">
        <f t="shared" ref="AO52:AO60" si="616">(AL52/$AL$9*80000)</f>
        <v>37.664643153604302</v>
      </c>
      <c r="AP52" s="59"/>
      <c r="AQ52" s="59"/>
      <c r="AR52" s="59">
        <v>6219</v>
      </c>
      <c r="AS52" s="59">
        <f t="shared" ref="AS52:AS60" si="617">AR52/$AR$9*50000</f>
        <v>85.188396625339493</v>
      </c>
      <c r="AT52" s="189">
        <v>0.1008</v>
      </c>
      <c r="AU52" s="59">
        <f t="shared" ref="AU52:AU60" si="618">AT52/$AT$9*50000</f>
        <v>73.191027128602798</v>
      </c>
      <c r="AV52" s="59"/>
      <c r="AW52" s="59"/>
      <c r="AX52" s="59"/>
      <c r="AY52" s="62">
        <v>86.739999999999995</v>
      </c>
      <c r="AZ52" s="62" t="s">
        <v>442</v>
      </c>
      <c r="BA52" s="59">
        <v>500</v>
      </c>
      <c r="BB52" s="59" t="s">
        <v>443</v>
      </c>
      <c r="BC52" s="59"/>
      <c r="BD52" s="62">
        <v>35.240377881900301</v>
      </c>
      <c r="BE52" s="59">
        <f t="shared" ref="BE52:BE60" si="619">BD52/$BD$9*42266</f>
        <v>441.67275095814801</v>
      </c>
      <c r="BF52" s="62" t="e">
        <f>VLOOKUP(B52,'2022年项目库建设情况'!B:O,14,0)</f>
        <v>#N/A</v>
      </c>
      <c r="BG52" s="59" t="e">
        <f t="shared" ref="BG52:BG60" si="620">BF52/$BF$9*1348663*0.025</f>
        <v>#N/A</v>
      </c>
      <c r="BH52" s="53" t="e">
        <f>ROUND(AI52+AD52+#REF!+#REF!+BE52+BG52,0)</f>
        <v>#REF!</v>
      </c>
      <c r="BI52" s="59" t="e">
        <f t="shared" ref="BI52:BI60" si="621">N52-G52</f>
        <v>#REF!</v>
      </c>
      <c r="BJ52" s="167" t="e">
        <f t="shared" ref="BJ52:BJ60" si="622">BI52/G52</f>
        <v>#REF!</v>
      </c>
      <c r="BK52" s="170">
        <f t="shared" ref="BK52:BK60" si="623">AD52+AI52+AO52+AP52+AS52+AU52+AW52+AX52+BA52+BC52+BE52</f>
        <v>1684.81681662197</v>
      </c>
      <c r="BL52" s="59">
        <v>2081</v>
      </c>
      <c r="BM52" s="59">
        <f t="shared" ref="BM52:BM60" si="624">BL52/$BL$9*1348663</f>
        <v>1889.67608171499</v>
      </c>
      <c r="BN52" s="59">
        <f t="shared" ref="BN52:BN60" si="625">BK52-BM52</f>
        <v>-204.85926509301399</v>
      </c>
      <c r="BO52" s="43">
        <f t="shared" si="492"/>
        <v>-0.108409725389069</v>
      </c>
    </row>
    <row r="53" ht="17" customHeight="1">
      <c r="A53" s="46">
        <v>27</v>
      </c>
      <c r="B53" s="82" t="s">
        <v>108</v>
      </c>
      <c r="C53" s="46" t="s">
        <v>78</v>
      </c>
      <c r="D53" s="46"/>
      <c r="E53" s="46"/>
      <c r="F53" s="46"/>
      <c r="G53" s="73" t="e">
        <f>VLOOKUP(B:B,#REF!,2,0)</f>
        <v>#REF!</v>
      </c>
      <c r="H53" s="73" t="e">
        <f t="shared" si="608"/>
        <v>#REF!</v>
      </c>
      <c r="I53" s="59" t="e">
        <f>VLOOKUP(B53,#REF!,4,0)</f>
        <v>#REF!</v>
      </c>
      <c r="J53" s="59" t="e">
        <f>VLOOKUP(B53,#REF!,2,0)</f>
        <v>#REF!</v>
      </c>
      <c r="K53" s="73" t="e">
        <f t="shared" si="609"/>
        <v>#REF!</v>
      </c>
      <c r="L53" s="73" t="e">
        <f t="shared" si="610"/>
        <v>#REF!</v>
      </c>
      <c r="M53" s="59">
        <v>2301</v>
      </c>
      <c r="N53" s="59">
        <v>246</v>
      </c>
      <c r="O53" s="73">
        <v>17582</v>
      </c>
      <c r="P53" s="59">
        <f t="shared" si="597"/>
        <v>3516.4000000000001</v>
      </c>
      <c r="Q53" s="59">
        <f t="shared" si="598"/>
        <v>3516.4000000000001</v>
      </c>
      <c r="R53" s="59">
        <f t="shared" si="599"/>
        <v>0</v>
      </c>
      <c r="S53" s="59">
        <f t="shared" si="600"/>
        <v>0</v>
      </c>
      <c r="T53" s="59">
        <f t="shared" si="601"/>
        <v>0</v>
      </c>
      <c r="U53" s="59">
        <f t="shared" si="602"/>
        <v>0</v>
      </c>
      <c r="V53" s="59">
        <v>2680</v>
      </c>
      <c r="W53" s="59">
        <f t="shared" si="590"/>
        <v>536</v>
      </c>
      <c r="X53" s="59">
        <v>747</v>
      </c>
      <c r="Y53" s="59">
        <f t="shared" si="611"/>
        <v>0</v>
      </c>
      <c r="Z53" s="59"/>
      <c r="AA53" s="59"/>
      <c r="AB53" s="59"/>
      <c r="AC53" s="59">
        <v>351</v>
      </c>
      <c r="AD53" s="59">
        <f t="shared" si="612"/>
        <v>788.15357296942102</v>
      </c>
      <c r="AE53" s="59">
        <v>11222.870000000001</v>
      </c>
      <c r="AF53" s="62">
        <f t="shared" si="613"/>
        <v>0.715774678797228</v>
      </c>
      <c r="AG53" s="62">
        <f t="shared" si="614"/>
        <v>1.4503026541789401</v>
      </c>
      <c r="AH53" s="62">
        <f t="shared" si="591"/>
        <v>0.29006053083578898</v>
      </c>
      <c r="AI53" s="59">
        <f t="shared" si="615"/>
        <v>86.460368887185396</v>
      </c>
      <c r="AJ53" s="59"/>
      <c r="AK53" s="59"/>
      <c r="AL53" s="59">
        <v>1544.5999999999999</v>
      </c>
      <c r="AM53" s="59">
        <v>30</v>
      </c>
      <c r="AN53" s="62">
        <v>1</v>
      </c>
      <c r="AO53" s="59">
        <f t="shared" si="616"/>
        <v>173.97370758091299</v>
      </c>
      <c r="AP53" s="59"/>
      <c r="AQ53" s="59"/>
      <c r="AR53" s="59">
        <v>9869</v>
      </c>
      <c r="AS53" s="59">
        <f t="shared" si="617"/>
        <v>135.186410402874</v>
      </c>
      <c r="AT53" s="189">
        <v>0.31740000000000002</v>
      </c>
      <c r="AU53" s="59">
        <f t="shared" si="618"/>
        <v>230.464603279946</v>
      </c>
      <c r="AV53" s="59">
        <v>1</v>
      </c>
      <c r="AW53" s="59">
        <f t="shared" ref="AW53:AW72" si="626">AV53*1000</f>
        <v>1000</v>
      </c>
      <c r="AX53" s="59"/>
      <c r="AY53" s="62">
        <v>82.109999999999999</v>
      </c>
      <c r="AZ53" s="62" t="s">
        <v>442</v>
      </c>
      <c r="BA53" s="59">
        <v>500</v>
      </c>
      <c r="BB53" s="59" t="s">
        <v>443</v>
      </c>
      <c r="BC53" s="59"/>
      <c r="BD53" s="62">
        <v>36.095366743388297</v>
      </c>
      <c r="BE53" s="59">
        <f t="shared" si="619"/>
        <v>452.38844997129399</v>
      </c>
      <c r="BF53" s="62" t="e">
        <f>VLOOKUP(B53,'2022年项目库建设情况'!B:O,14,0)</f>
        <v>#N/A</v>
      </c>
      <c r="BG53" s="59" t="e">
        <f t="shared" si="620"/>
        <v>#N/A</v>
      </c>
      <c r="BH53" s="53" t="e">
        <f>ROUND(AI53+AD53+#REF!+#REF!+BE53+BG53,0)</f>
        <v>#REF!</v>
      </c>
      <c r="BI53" s="59" t="e">
        <f t="shared" si="621"/>
        <v>#REF!</v>
      </c>
      <c r="BJ53" s="167" t="e">
        <f t="shared" si="622"/>
        <v>#REF!</v>
      </c>
      <c r="BK53" s="170">
        <f t="shared" si="623"/>
        <v>3366.6271130916298</v>
      </c>
      <c r="BL53" s="59">
        <v>2301</v>
      </c>
      <c r="BM53" s="59">
        <f t="shared" si="624"/>
        <v>2089.4496223095598</v>
      </c>
      <c r="BN53" s="59">
        <f t="shared" si="625"/>
        <v>1277.17749078208</v>
      </c>
      <c r="BO53" s="43">
        <f t="shared" si="492"/>
        <v>0.61125067440982706</v>
      </c>
    </row>
    <row r="54" ht="17" customHeight="1">
      <c r="A54" s="46">
        <v>28</v>
      </c>
      <c r="B54" s="82" t="s">
        <v>102</v>
      </c>
      <c r="C54" s="46" t="s">
        <v>78</v>
      </c>
      <c r="D54" s="46"/>
      <c r="E54" s="46"/>
      <c r="F54" s="46"/>
      <c r="G54" s="73" t="e">
        <f>VLOOKUP(B:B,#REF!,2,0)</f>
        <v>#REF!</v>
      </c>
      <c r="H54" s="73" t="e">
        <f t="shared" si="608"/>
        <v>#REF!</v>
      </c>
      <c r="I54" s="59" t="e">
        <f>VLOOKUP(B54,#REF!,4,0)</f>
        <v>#REF!</v>
      </c>
      <c r="J54" s="59" t="e">
        <f>VLOOKUP(B54,#REF!,2,0)</f>
        <v>#REF!</v>
      </c>
      <c r="K54" s="73" t="e">
        <f t="shared" si="609"/>
        <v>#REF!</v>
      </c>
      <c r="L54" s="73" t="e">
        <f t="shared" si="610"/>
        <v>#REF!</v>
      </c>
      <c r="M54" s="59">
        <v>1841</v>
      </c>
      <c r="N54" s="59">
        <v>199</v>
      </c>
      <c r="O54" s="73">
        <v>15759</v>
      </c>
      <c r="P54" s="59">
        <f t="shared" si="597"/>
        <v>3151.8000000000002</v>
      </c>
      <c r="Q54" s="59">
        <f t="shared" si="598"/>
        <v>3151.8000000000002</v>
      </c>
      <c r="R54" s="59">
        <f t="shared" si="599"/>
        <v>0</v>
      </c>
      <c r="S54" s="59">
        <f t="shared" si="600"/>
        <v>0</v>
      </c>
      <c r="T54" s="59">
        <f t="shared" si="601"/>
        <v>0</v>
      </c>
      <c r="U54" s="59">
        <f t="shared" si="602"/>
        <v>0</v>
      </c>
      <c r="V54" s="59">
        <v>1010</v>
      </c>
      <c r="W54" s="59">
        <f t="shared" si="590"/>
        <v>202</v>
      </c>
      <c r="X54" s="59">
        <v>784</v>
      </c>
      <c r="Y54" s="59">
        <f t="shared" si="611"/>
        <v>0</v>
      </c>
      <c r="Z54" s="59"/>
      <c r="AA54" s="59"/>
      <c r="AB54" s="59"/>
      <c r="AC54" s="59">
        <v>442</v>
      </c>
      <c r="AD54" s="59">
        <f t="shared" si="612"/>
        <v>698.38873261877995</v>
      </c>
      <c r="AE54" s="59">
        <v>11895.860000000001</v>
      </c>
      <c r="AF54" s="62">
        <f t="shared" si="613"/>
        <v>0.60717570703338097</v>
      </c>
      <c r="AG54" s="62">
        <f t="shared" si="614"/>
        <v>1.0181729431242801</v>
      </c>
      <c r="AH54" s="62">
        <f t="shared" si="591"/>
        <v>0.20363458862485501</v>
      </c>
      <c r="AI54" s="59">
        <f t="shared" si="615"/>
        <v>60.698784491512399</v>
      </c>
      <c r="AJ54" s="59"/>
      <c r="AK54" s="59"/>
      <c r="AL54" s="59">
        <v>705.5</v>
      </c>
      <c r="AM54" s="59">
        <v>36</v>
      </c>
      <c r="AN54" s="62">
        <v>1</v>
      </c>
      <c r="AO54" s="59">
        <f t="shared" si="616"/>
        <v>79.462935839915801</v>
      </c>
      <c r="AP54" s="59"/>
      <c r="AQ54" s="59"/>
      <c r="AR54" s="59">
        <v>8263</v>
      </c>
      <c r="AS54" s="59">
        <f t="shared" si="617"/>
        <v>113.18728434075901</v>
      </c>
      <c r="AT54" s="189">
        <v>0.13200000000000001</v>
      </c>
      <c r="AU54" s="59">
        <f t="shared" si="618"/>
        <v>95.845392668408394</v>
      </c>
      <c r="AV54" s="59"/>
      <c r="AW54" s="59"/>
      <c r="AX54" s="59"/>
      <c r="AY54" s="62">
        <v>67.920000000000002</v>
      </c>
      <c r="AZ54" s="62" t="s">
        <v>440</v>
      </c>
      <c r="BA54" s="59"/>
      <c r="BB54" s="59" t="s">
        <v>441</v>
      </c>
      <c r="BC54" s="59">
        <v>800</v>
      </c>
      <c r="BD54" s="62">
        <v>20.1691016302773</v>
      </c>
      <c r="BE54" s="59">
        <f t="shared" si="619"/>
        <v>252.78226672973099</v>
      </c>
      <c r="BF54" s="62" t="e">
        <f>VLOOKUP(B54,'2022年项目库建设情况'!B:O,14,0)</f>
        <v>#N/A</v>
      </c>
      <c r="BG54" s="59" t="e">
        <f t="shared" si="620"/>
        <v>#N/A</v>
      </c>
      <c r="BH54" s="53" t="e">
        <f>ROUND(AI54+AD54+#REF!+#REF!+BE54+BG54,0)</f>
        <v>#REF!</v>
      </c>
      <c r="BI54" s="59" t="e">
        <f t="shared" si="621"/>
        <v>#REF!</v>
      </c>
      <c r="BJ54" s="167" t="e">
        <f t="shared" si="622"/>
        <v>#REF!</v>
      </c>
      <c r="BK54" s="170">
        <f t="shared" si="623"/>
        <v>2100.3653966891102</v>
      </c>
      <c r="BL54" s="59">
        <v>1841</v>
      </c>
      <c r="BM54" s="59">
        <f t="shared" si="624"/>
        <v>1671.7413101572799</v>
      </c>
      <c r="BN54" s="59">
        <f t="shared" si="625"/>
        <v>428.62408653182899</v>
      </c>
      <c r="BO54" s="43">
        <f t="shared" si="492"/>
        <v>0.25639378767968801</v>
      </c>
    </row>
    <row r="55" ht="17" customHeight="1">
      <c r="A55" s="46">
        <v>29</v>
      </c>
      <c r="B55" s="82" t="s">
        <v>109</v>
      </c>
      <c r="C55" s="46" t="s">
        <v>93</v>
      </c>
      <c r="D55" s="46">
        <v>2019</v>
      </c>
      <c r="E55" s="46" t="s">
        <v>94</v>
      </c>
      <c r="F55" s="46"/>
      <c r="G55" s="73" t="e">
        <f>VLOOKUP(B:B,#REF!,2,0)</f>
        <v>#REF!</v>
      </c>
      <c r="H55" s="73" t="e">
        <f t="shared" si="608"/>
        <v>#REF!</v>
      </c>
      <c r="I55" s="59" t="e">
        <f>VLOOKUP(B55,#REF!,4,0)</f>
        <v>#REF!</v>
      </c>
      <c r="J55" s="59" t="e">
        <f>VLOOKUP(B55,#REF!,2,0)</f>
        <v>#REF!</v>
      </c>
      <c r="K55" s="73" t="e">
        <f t="shared" si="609"/>
        <v>#REF!</v>
      </c>
      <c r="L55" s="73" t="e">
        <f t="shared" si="610"/>
        <v>#REF!</v>
      </c>
      <c r="M55" s="59">
        <v>30470</v>
      </c>
      <c r="N55" s="59">
        <v>4267</v>
      </c>
      <c r="O55" s="73">
        <v>150030</v>
      </c>
      <c r="P55" s="59">
        <f t="shared" si="597"/>
        <v>120024</v>
      </c>
      <c r="Q55" s="59">
        <f t="shared" si="598"/>
        <v>0</v>
      </c>
      <c r="R55" s="59">
        <f t="shared" si="599"/>
        <v>0</v>
      </c>
      <c r="S55" s="59">
        <f t="shared" si="600"/>
        <v>0</v>
      </c>
      <c r="T55" s="59">
        <f t="shared" si="601"/>
        <v>120024</v>
      </c>
      <c r="U55" s="59">
        <f t="shared" si="602"/>
        <v>0</v>
      </c>
      <c r="V55" s="59">
        <v>20995</v>
      </c>
      <c r="W55" s="59">
        <f t="shared" ref="W55:W60" si="627">V55*1</f>
        <v>20995</v>
      </c>
      <c r="X55" s="59">
        <v>51303</v>
      </c>
      <c r="Y55" s="59">
        <f t="shared" si="611"/>
        <v>12495</v>
      </c>
      <c r="Z55" s="59"/>
      <c r="AA55" s="59">
        <v>12495</v>
      </c>
      <c r="AB55" s="59"/>
      <c r="AC55" s="59">
        <v>3216</v>
      </c>
      <c r="AD55" s="59">
        <f t="shared" si="612"/>
        <v>14216.160945764201</v>
      </c>
      <c r="AE55" s="59">
        <v>11910.17</v>
      </c>
      <c r="AF55" s="62">
        <f t="shared" si="613"/>
        <v>0.60486653262374501</v>
      </c>
      <c r="AG55" s="62">
        <f t="shared" si="614"/>
        <v>10.344729874197601</v>
      </c>
      <c r="AH55" s="62">
        <f t="shared" ref="AH55:AH60" si="628">AG55*1</f>
        <v>10.344729874197601</v>
      </c>
      <c r="AI55" s="59">
        <f t="shared" si="615"/>
        <v>3083.5259053833902</v>
      </c>
      <c r="AJ55" s="59">
        <f t="shared" ref="AJ55:AJ60" si="629">P55</f>
        <v>120024</v>
      </c>
      <c r="AK55" s="59">
        <f t="shared" ref="AK55:AK60" si="630">AJ55/$AJ$9*2859</f>
        <v>85.390523557129498</v>
      </c>
      <c r="AL55" s="59">
        <v>11507.85</v>
      </c>
      <c r="AM55" s="59">
        <v>91</v>
      </c>
      <c r="AN55" s="62">
        <v>1</v>
      </c>
      <c r="AO55" s="59">
        <f t="shared" si="616"/>
        <v>1296.1694489091101</v>
      </c>
      <c r="AP55" s="59"/>
      <c r="AQ55" s="59"/>
      <c r="AR55" s="59">
        <v>85488</v>
      </c>
      <c r="AS55" s="59">
        <f t="shared" si="617"/>
        <v>1171.0219730997001</v>
      </c>
      <c r="AT55" s="189">
        <v>1.3010999999999999</v>
      </c>
      <c r="AU55" s="59">
        <f t="shared" si="618"/>
        <v>944.73060909747096</v>
      </c>
      <c r="AV55" s="59"/>
      <c r="AW55" s="59"/>
      <c r="AX55" s="59">
        <v>5705</v>
      </c>
      <c r="AY55" s="62">
        <v>63.25</v>
      </c>
      <c r="AZ55" s="62" t="s">
        <v>440</v>
      </c>
      <c r="BA55" s="59"/>
      <c r="BB55" s="59" t="s">
        <v>441</v>
      </c>
      <c r="BC55" s="59">
        <v>1000</v>
      </c>
      <c r="BD55" s="62">
        <v>20.1022006844969</v>
      </c>
      <c r="BE55" s="59">
        <f t="shared" si="619"/>
        <v>251.943787503897</v>
      </c>
      <c r="BF55" s="62" t="e">
        <f>VLOOKUP(B55,'2022年项目库建设情况'!B:O,14,0)</f>
        <v>#N/A</v>
      </c>
      <c r="BG55" s="59" t="e">
        <f t="shared" si="620"/>
        <v>#N/A</v>
      </c>
      <c r="BH55" s="53" t="e">
        <f>ROUND(AI55+AD55+#REF!+#REF!+BE55+BG55,0)</f>
        <v>#REF!</v>
      </c>
      <c r="BI55" s="59" t="e">
        <f t="shared" si="621"/>
        <v>#REF!</v>
      </c>
      <c r="BJ55" s="167" t="e">
        <f t="shared" si="622"/>
        <v>#REF!</v>
      </c>
      <c r="BK55" s="170">
        <f t="shared" si="623"/>
        <v>27668.552669757799</v>
      </c>
      <c r="BL55" s="59">
        <v>30470</v>
      </c>
      <c r="BM55" s="59">
        <f t="shared" si="624"/>
        <v>27668.635372347799</v>
      </c>
      <c r="BN55" s="59">
        <f t="shared" si="625"/>
        <v>-8.2702589970722301e-002</v>
      </c>
      <c r="BO55" s="43">
        <f t="shared" si="492"/>
        <v>-2.9890375458623399e-006</v>
      </c>
    </row>
    <row r="56" ht="17" customHeight="1">
      <c r="A56" s="46">
        <v>30</v>
      </c>
      <c r="B56" s="82" t="s">
        <v>106</v>
      </c>
      <c r="C56" s="46" t="s">
        <v>90</v>
      </c>
      <c r="D56" s="46">
        <v>2018</v>
      </c>
      <c r="E56" s="46" t="s">
        <v>91</v>
      </c>
      <c r="F56" s="46"/>
      <c r="G56" s="73" t="e">
        <f>VLOOKUP(B:B,#REF!,2,0)</f>
        <v>#REF!</v>
      </c>
      <c r="H56" s="73" t="e">
        <f t="shared" si="608"/>
        <v>#REF!</v>
      </c>
      <c r="I56" s="59" t="e">
        <f>VLOOKUP(B56,#REF!,4,0)</f>
        <v>#REF!</v>
      </c>
      <c r="J56" s="59" t="e">
        <f>VLOOKUP(B56,#REF!,2,0)</f>
        <v>#REF!</v>
      </c>
      <c r="K56" s="73" t="e">
        <f t="shared" si="609"/>
        <v>#REF!</v>
      </c>
      <c r="L56" s="73" t="e">
        <f t="shared" si="610"/>
        <v>#REF!</v>
      </c>
      <c r="M56" s="59">
        <v>11703</v>
      </c>
      <c r="N56" s="59">
        <v>1478</v>
      </c>
      <c r="O56" s="73">
        <v>96295</v>
      </c>
      <c r="P56" s="59">
        <f t="shared" si="597"/>
        <v>57777</v>
      </c>
      <c r="Q56" s="59">
        <f t="shared" si="598"/>
        <v>0</v>
      </c>
      <c r="R56" s="59">
        <f t="shared" si="599"/>
        <v>0</v>
      </c>
      <c r="S56" s="59">
        <f t="shared" si="600"/>
        <v>57777</v>
      </c>
      <c r="T56" s="59">
        <f t="shared" si="601"/>
        <v>0</v>
      </c>
      <c r="U56" s="59">
        <f t="shared" si="602"/>
        <v>0</v>
      </c>
      <c r="V56" s="59">
        <v>9996</v>
      </c>
      <c r="W56" s="59">
        <f t="shared" si="627"/>
        <v>9996</v>
      </c>
      <c r="X56" s="59">
        <v>5894</v>
      </c>
      <c r="Y56" s="59">
        <f t="shared" si="611"/>
        <v>0</v>
      </c>
      <c r="Z56" s="59"/>
      <c r="AA56" s="59"/>
      <c r="AB56" s="59"/>
      <c r="AC56" s="59">
        <v>1863</v>
      </c>
      <c r="AD56" s="59">
        <f t="shared" si="612"/>
        <v>5742.5448678498997</v>
      </c>
      <c r="AE56" s="59">
        <v>11878.639999999999</v>
      </c>
      <c r="AF56" s="62">
        <f t="shared" si="613"/>
        <v>0.60995446198334102</v>
      </c>
      <c r="AG56" s="62">
        <f t="shared" si="614"/>
        <v>6.4832669718671303</v>
      </c>
      <c r="AH56" s="62">
        <f t="shared" si="628"/>
        <v>6.4832669718671303</v>
      </c>
      <c r="AI56" s="59">
        <f t="shared" si="615"/>
        <v>1932.5126806000301</v>
      </c>
      <c r="AJ56" s="59">
        <f t="shared" si="629"/>
        <v>57777</v>
      </c>
      <c r="AK56" s="59">
        <f t="shared" si="630"/>
        <v>41.105181293410197</v>
      </c>
      <c r="AL56" s="59">
        <v>4509.8000000000002</v>
      </c>
      <c r="AM56" s="59">
        <v>40</v>
      </c>
      <c r="AN56" s="62">
        <v>1</v>
      </c>
      <c r="AO56" s="59">
        <f t="shared" si="616"/>
        <v>507.95456846329199</v>
      </c>
      <c r="AP56" s="59"/>
      <c r="AQ56" s="59"/>
      <c r="AR56" s="59">
        <v>56852</v>
      </c>
      <c r="AS56" s="59">
        <f t="shared" si="617"/>
        <v>778.76358336449698</v>
      </c>
      <c r="AT56" s="189">
        <v>1.1137999999999999</v>
      </c>
      <c r="AU56" s="59">
        <f t="shared" si="618"/>
        <v>808.73180571267596</v>
      </c>
      <c r="AV56" s="59">
        <v>2</v>
      </c>
      <c r="AW56" s="59">
        <f t="shared" si="626"/>
        <v>2000</v>
      </c>
      <c r="AX56" s="59"/>
      <c r="AY56" s="62">
        <v>60.960000000000001</v>
      </c>
      <c r="AZ56" s="62" t="s">
        <v>440</v>
      </c>
      <c r="BA56" s="59"/>
      <c r="BB56" s="59" t="s">
        <v>443</v>
      </c>
      <c r="BC56" s="59"/>
      <c r="BD56" s="62">
        <v>37.2110430645075</v>
      </c>
      <c r="BE56" s="59">
        <f t="shared" si="619"/>
        <v>466.37138260552899</v>
      </c>
      <c r="BF56" s="62" t="e">
        <f>VLOOKUP(B56,'2022年项目库建设情况'!B:O,14,0)</f>
        <v>#N/A</v>
      </c>
      <c r="BG56" s="59" t="e">
        <f t="shared" si="620"/>
        <v>#N/A</v>
      </c>
      <c r="BH56" s="53" t="e">
        <f>ROUND(AI56+AD56+#REF!+#REF!+BE56+BG56,0)</f>
        <v>#REF!</v>
      </c>
      <c r="BI56" s="59" t="e">
        <f t="shared" si="621"/>
        <v>#REF!</v>
      </c>
      <c r="BJ56" s="167" t="e">
        <f t="shared" si="622"/>
        <v>#REF!</v>
      </c>
      <c r="BK56" s="170">
        <f t="shared" si="623"/>
        <v>12236.8788885959</v>
      </c>
      <c r="BL56" s="59">
        <v>11703</v>
      </c>
      <c r="BM56" s="59">
        <f t="shared" si="624"/>
        <v>10627.044298082899</v>
      </c>
      <c r="BN56" s="59">
        <f t="shared" si="625"/>
        <v>1609.83459051302</v>
      </c>
      <c r="BO56" s="43">
        <f t="shared" si="492"/>
        <v>0.15148469747165999</v>
      </c>
    </row>
    <row r="57" ht="17" customHeight="1">
      <c r="A57" s="46">
        <v>31</v>
      </c>
      <c r="B57" s="82" t="s">
        <v>105</v>
      </c>
      <c r="C57" s="46" t="s">
        <v>90</v>
      </c>
      <c r="D57" s="46">
        <v>2017</v>
      </c>
      <c r="E57" s="46"/>
      <c r="F57" s="46"/>
      <c r="G57" s="73" t="e">
        <f>VLOOKUP(B:B,#REF!,2,0)</f>
        <v>#REF!</v>
      </c>
      <c r="H57" s="73" t="e">
        <f t="shared" si="608"/>
        <v>#REF!</v>
      </c>
      <c r="I57" s="59" t="e">
        <f>VLOOKUP(B57,#REF!,4,0)</f>
        <v>#REF!</v>
      </c>
      <c r="J57" s="59" t="e">
        <f>VLOOKUP(B57,#REF!,2,0)</f>
        <v>#REF!</v>
      </c>
      <c r="K57" s="73" t="e">
        <f t="shared" si="609"/>
        <v>#REF!</v>
      </c>
      <c r="L57" s="73" t="e">
        <f t="shared" si="610"/>
        <v>#REF!</v>
      </c>
      <c r="M57" s="59">
        <v>3568</v>
      </c>
      <c r="N57" s="59">
        <v>634</v>
      </c>
      <c r="O57" s="73">
        <v>36640</v>
      </c>
      <c r="P57" s="59">
        <f t="shared" si="597"/>
        <v>14656</v>
      </c>
      <c r="Q57" s="59">
        <f t="shared" si="598"/>
        <v>0</v>
      </c>
      <c r="R57" s="59">
        <f t="shared" si="599"/>
        <v>14656</v>
      </c>
      <c r="S57" s="59">
        <f t="shared" si="600"/>
        <v>0</v>
      </c>
      <c r="T57" s="59">
        <f t="shared" si="601"/>
        <v>0</v>
      </c>
      <c r="U57" s="59">
        <f t="shared" si="602"/>
        <v>0</v>
      </c>
      <c r="V57" s="59">
        <v>5851</v>
      </c>
      <c r="W57" s="59">
        <f t="shared" ref="W57:W58" si="631">V57*0.5</f>
        <v>2925.5</v>
      </c>
      <c r="X57" s="59">
        <v>4424</v>
      </c>
      <c r="Y57" s="59">
        <f t="shared" si="611"/>
        <v>0</v>
      </c>
      <c r="Z57" s="59"/>
      <c r="AA57" s="59"/>
      <c r="AB57" s="59"/>
      <c r="AC57" s="59">
        <v>0</v>
      </c>
      <c r="AD57" s="59">
        <f t="shared" si="612"/>
        <v>2079.9015560446501</v>
      </c>
      <c r="AE57" s="59">
        <v>12298.75</v>
      </c>
      <c r="AF57" s="62">
        <f t="shared" si="613"/>
        <v>0.54216220054155095</v>
      </c>
      <c r="AG57" s="62">
        <f t="shared" si="614"/>
        <v>2.3037014063211001</v>
      </c>
      <c r="AH57" s="62">
        <f t="shared" ref="AH57:AH58" si="632">AG57*0.5</f>
        <v>1.15185070316055</v>
      </c>
      <c r="AI57" s="59">
        <f t="shared" si="615"/>
        <v>343.34018630961401</v>
      </c>
      <c r="AJ57" s="59"/>
      <c r="AK57" s="59"/>
      <c r="AL57" s="59">
        <v>4259.4390000000003</v>
      </c>
      <c r="AM57" s="59">
        <v>34</v>
      </c>
      <c r="AN57" s="62">
        <v>1</v>
      </c>
      <c r="AO57" s="59">
        <f t="shared" si="616"/>
        <v>479.75553220557799</v>
      </c>
      <c r="AP57" s="59"/>
      <c r="AQ57" s="59"/>
      <c r="AR57" s="59">
        <v>19175</v>
      </c>
      <c r="AS57" s="59">
        <f t="shared" si="617"/>
        <v>262.660798406639</v>
      </c>
      <c r="AT57" s="189">
        <v>0.36370000000000002</v>
      </c>
      <c r="AU57" s="59">
        <f t="shared" si="618"/>
        <v>264.08310085984903</v>
      </c>
      <c r="AV57" s="59">
        <v>1</v>
      </c>
      <c r="AW57" s="59">
        <f t="shared" si="626"/>
        <v>1000</v>
      </c>
      <c r="AX57" s="59"/>
      <c r="AY57" s="62">
        <v>65.670000000000002</v>
      </c>
      <c r="AZ57" s="62" t="s">
        <v>440</v>
      </c>
      <c r="BA57" s="59"/>
      <c r="BB57" s="59" t="s">
        <v>443</v>
      </c>
      <c r="BC57" s="59"/>
      <c r="BD57" s="62">
        <v>0.106152447142575</v>
      </c>
      <c r="BE57" s="59">
        <f t="shared" si="619"/>
        <v>1.3304239672889799</v>
      </c>
      <c r="BF57" s="62" t="e">
        <f>VLOOKUP(B57,'2022年项目库建设情况'!B:O,14,0)</f>
        <v>#N/A</v>
      </c>
      <c r="BG57" s="59" t="e">
        <f t="shared" si="620"/>
        <v>#N/A</v>
      </c>
      <c r="BH57" s="53" t="e">
        <f>ROUND(AI57+AD57+#REF!+#REF!+BE57+BG57,0)</f>
        <v>#REF!</v>
      </c>
      <c r="BI57" s="59" t="e">
        <f t="shared" si="621"/>
        <v>#REF!</v>
      </c>
      <c r="BJ57" s="167" t="e">
        <f t="shared" si="622"/>
        <v>#REF!</v>
      </c>
      <c r="BK57" s="170">
        <f t="shared" si="623"/>
        <v>4431.0715977936197</v>
      </c>
      <c r="BL57" s="59">
        <v>3568</v>
      </c>
      <c r="BM57" s="59">
        <f t="shared" si="624"/>
        <v>3239.9636038246399</v>
      </c>
      <c r="BN57" s="59">
        <f t="shared" si="625"/>
        <v>1191.1079939689801</v>
      </c>
      <c r="BO57" s="43">
        <f t="shared" si="492"/>
        <v>0.36763005379533398</v>
      </c>
    </row>
    <row r="58" ht="17" customHeight="1">
      <c r="A58" s="46">
        <v>32</v>
      </c>
      <c r="B58" s="82" t="s">
        <v>104</v>
      </c>
      <c r="C58" s="46" t="s">
        <v>90</v>
      </c>
      <c r="D58" s="46">
        <v>2018</v>
      </c>
      <c r="E58" s="46"/>
      <c r="F58" s="46"/>
      <c r="G58" s="73" t="e">
        <f>VLOOKUP(B:B,#REF!,2,0)</f>
        <v>#REF!</v>
      </c>
      <c r="H58" s="73" t="e">
        <f t="shared" si="608"/>
        <v>#REF!</v>
      </c>
      <c r="I58" s="59" t="e">
        <f>VLOOKUP(B58,#REF!,4,0)</f>
        <v>#REF!</v>
      </c>
      <c r="J58" s="59" t="e">
        <f>VLOOKUP(B58,#REF!,2,0)</f>
        <v>#REF!</v>
      </c>
      <c r="K58" s="73" t="e">
        <f t="shared" si="609"/>
        <v>#REF!</v>
      </c>
      <c r="L58" s="73" t="e">
        <f t="shared" si="610"/>
        <v>#REF!</v>
      </c>
      <c r="M58" s="59">
        <v>6473</v>
      </c>
      <c r="N58" s="59">
        <v>1031</v>
      </c>
      <c r="O58" s="73">
        <v>64465</v>
      </c>
      <c r="P58" s="59">
        <f t="shared" si="597"/>
        <v>38679</v>
      </c>
      <c r="Q58" s="59">
        <f t="shared" si="598"/>
        <v>0</v>
      </c>
      <c r="R58" s="59">
        <f t="shared" si="599"/>
        <v>0</v>
      </c>
      <c r="S58" s="59">
        <f t="shared" si="600"/>
        <v>38679</v>
      </c>
      <c r="T58" s="59">
        <f t="shared" si="601"/>
        <v>0</v>
      </c>
      <c r="U58" s="59">
        <f t="shared" si="602"/>
        <v>0</v>
      </c>
      <c r="V58" s="59">
        <v>5895</v>
      </c>
      <c r="W58" s="59">
        <f t="shared" si="631"/>
        <v>2947.5</v>
      </c>
      <c r="X58" s="59">
        <v>5692</v>
      </c>
      <c r="Y58" s="59">
        <f t="shared" si="611"/>
        <v>0</v>
      </c>
      <c r="Z58" s="59"/>
      <c r="AA58" s="59"/>
      <c r="AB58" s="59"/>
      <c r="AC58" s="59">
        <v>1538</v>
      </c>
      <c r="AD58" s="59">
        <f t="shared" si="612"/>
        <v>3420.73970911064</v>
      </c>
      <c r="AE58" s="59">
        <v>10774.389999999999</v>
      </c>
      <c r="AF58" s="62">
        <f t="shared" si="613"/>
        <v>0.78814494708747096</v>
      </c>
      <c r="AG58" s="62">
        <f t="shared" si="614"/>
        <v>5.5453878477074499</v>
      </c>
      <c r="AH58" s="62">
        <f t="shared" si="632"/>
        <v>2.77269392385372</v>
      </c>
      <c r="AI58" s="59">
        <f t="shared" si="615"/>
        <v>826.47624886050801</v>
      </c>
      <c r="AJ58" s="59"/>
      <c r="AK58" s="59"/>
      <c r="AL58" s="59">
        <v>2897.6900000000001</v>
      </c>
      <c r="AM58" s="59">
        <v>17</v>
      </c>
      <c r="AN58" s="62">
        <v>1</v>
      </c>
      <c r="AO58" s="59">
        <f t="shared" si="616"/>
        <v>326.37697314523803</v>
      </c>
      <c r="AP58" s="59"/>
      <c r="AQ58" s="59"/>
      <c r="AR58" s="59">
        <v>29454</v>
      </c>
      <c r="AS58" s="59">
        <f t="shared" si="617"/>
        <v>403.463424055757</v>
      </c>
      <c r="AT58" s="189">
        <v>0.66449999999999998</v>
      </c>
      <c r="AU58" s="59">
        <f t="shared" si="618"/>
        <v>482.494419910283</v>
      </c>
      <c r="AV58" s="59"/>
      <c r="AW58" s="59"/>
      <c r="AX58" s="59"/>
      <c r="AY58" s="62">
        <v>60.880000000000003</v>
      </c>
      <c r="AZ58" s="62" t="s">
        <v>440</v>
      </c>
      <c r="BA58" s="59"/>
      <c r="BB58" s="59" t="s">
        <v>441</v>
      </c>
      <c r="BC58" s="59">
        <v>800</v>
      </c>
      <c r="BD58" s="62">
        <v>14.159781179006099</v>
      </c>
      <c r="BE58" s="59">
        <f t="shared" si="619"/>
        <v>177.46658470166801</v>
      </c>
      <c r="BF58" s="62" t="e">
        <f>VLOOKUP(B58,'2022年项目库建设情况'!B:O,14,0)</f>
        <v>#N/A</v>
      </c>
      <c r="BG58" s="59" t="e">
        <f t="shared" si="620"/>
        <v>#N/A</v>
      </c>
      <c r="BH58" s="53" t="e">
        <f>ROUND(AI58+AD58+#REF!+#REF!+BE58+BG58,0)</f>
        <v>#REF!</v>
      </c>
      <c r="BI58" s="59" t="e">
        <f t="shared" si="621"/>
        <v>#REF!</v>
      </c>
      <c r="BJ58" s="167" t="e">
        <f t="shared" si="622"/>
        <v>#REF!</v>
      </c>
      <c r="BK58" s="170">
        <f t="shared" si="623"/>
        <v>6437.0173597840903</v>
      </c>
      <c r="BL58" s="59">
        <v>6473</v>
      </c>
      <c r="BM58" s="59">
        <f t="shared" si="624"/>
        <v>5877.8824012211098</v>
      </c>
      <c r="BN58" s="59">
        <f t="shared" si="625"/>
        <v>559.13495856298596</v>
      </c>
      <c r="BO58" s="43">
        <f t="shared" si="492"/>
        <v>9.5125237355348904e-002</v>
      </c>
    </row>
    <row r="59" ht="17" customHeight="1">
      <c r="A59" s="46">
        <v>33</v>
      </c>
      <c r="B59" s="82" t="s">
        <v>103</v>
      </c>
      <c r="C59" s="46" t="s">
        <v>78</v>
      </c>
      <c r="D59" s="46"/>
      <c r="E59" s="46"/>
      <c r="F59" s="46"/>
      <c r="G59" s="73" t="e">
        <f>VLOOKUP(B:B,#REF!,2,0)</f>
        <v>#REF!</v>
      </c>
      <c r="H59" s="73" t="e">
        <f t="shared" si="608"/>
        <v>#REF!</v>
      </c>
      <c r="I59" s="59" t="e">
        <f>VLOOKUP(B59,#REF!,4,0)</f>
        <v>#REF!</v>
      </c>
      <c r="J59" s="59" t="e">
        <f>VLOOKUP(B59,#REF!,2,0)</f>
        <v>#REF!</v>
      </c>
      <c r="K59" s="73" t="e">
        <f t="shared" si="609"/>
        <v>#REF!</v>
      </c>
      <c r="L59" s="73" t="e">
        <f t="shared" si="610"/>
        <v>#REF!</v>
      </c>
      <c r="M59" s="59">
        <v>3691</v>
      </c>
      <c r="N59" s="59">
        <v>536</v>
      </c>
      <c r="O59" s="73">
        <v>33845</v>
      </c>
      <c r="P59" s="59">
        <f t="shared" si="597"/>
        <v>6769</v>
      </c>
      <c r="Q59" s="59">
        <f t="shared" si="598"/>
        <v>6769</v>
      </c>
      <c r="R59" s="59">
        <f t="shared" si="599"/>
        <v>0</v>
      </c>
      <c r="S59" s="59">
        <f t="shared" si="600"/>
        <v>0</v>
      </c>
      <c r="T59" s="59">
        <f t="shared" si="601"/>
        <v>0</v>
      </c>
      <c r="U59" s="59">
        <f t="shared" si="602"/>
        <v>0</v>
      </c>
      <c r="V59" s="59">
        <v>8035</v>
      </c>
      <c r="W59" s="59">
        <f>V59*0.2</f>
        <v>1607</v>
      </c>
      <c r="X59" s="59">
        <v>3734</v>
      </c>
      <c r="Y59" s="59">
        <f t="shared" si="611"/>
        <v>0</v>
      </c>
      <c r="Z59" s="59"/>
      <c r="AA59" s="59"/>
      <c r="AB59" s="59"/>
      <c r="AC59" s="59">
        <v>988</v>
      </c>
      <c r="AD59" s="59">
        <f t="shared" si="612"/>
        <v>1924.0734125981801</v>
      </c>
      <c r="AE59" s="59">
        <v>11453.129999999999</v>
      </c>
      <c r="AF59" s="62">
        <f t="shared" si="613"/>
        <v>0.67861810999480399</v>
      </c>
      <c r="AG59" s="62">
        <f t="shared" si="614"/>
        <v>2.8420526446582399</v>
      </c>
      <c r="AH59" s="62">
        <f>AG59*0.2</f>
        <v>0.56841052893164801</v>
      </c>
      <c r="AI59" s="59">
        <f t="shared" si="615"/>
        <v>169.43009746683799</v>
      </c>
      <c r="AJ59" s="59"/>
      <c r="AK59" s="59"/>
      <c r="AL59" s="59">
        <v>2938.3099999999999</v>
      </c>
      <c r="AM59" s="59">
        <v>25</v>
      </c>
      <c r="AN59" s="62">
        <v>1</v>
      </c>
      <c r="AO59" s="59">
        <f t="shared" si="616"/>
        <v>330.95214600678003</v>
      </c>
      <c r="AP59" s="59"/>
      <c r="AQ59" s="59"/>
      <c r="AR59" s="59">
        <v>18237</v>
      </c>
      <c r="AS59" s="59">
        <f t="shared" si="617"/>
        <v>249.811993770111</v>
      </c>
      <c r="AT59" s="189">
        <v>0.31090000000000001</v>
      </c>
      <c r="AU59" s="59">
        <f t="shared" si="618"/>
        <v>225.744943792486</v>
      </c>
      <c r="AV59" s="59"/>
      <c r="AW59" s="59"/>
      <c r="AX59" s="59"/>
      <c r="AY59" s="62">
        <v>80.390000000000001</v>
      </c>
      <c r="AZ59" s="62" t="s">
        <v>442</v>
      </c>
      <c r="BA59" s="59">
        <v>500</v>
      </c>
      <c r="BB59" s="59" t="s">
        <v>441</v>
      </c>
      <c r="BC59" s="59">
        <v>800</v>
      </c>
      <c r="BD59" s="62">
        <v>33.453060300435098</v>
      </c>
      <c r="BE59" s="59">
        <f t="shared" si="619"/>
        <v>419.27204130381</v>
      </c>
      <c r="BF59" s="62" t="e">
        <f>VLOOKUP(B59,'2022年项目库建设情况'!B:O,14,0)</f>
        <v>#N/A</v>
      </c>
      <c r="BG59" s="59" t="e">
        <f t="shared" si="620"/>
        <v>#N/A</v>
      </c>
      <c r="BH59" s="53" t="e">
        <f>ROUND(AI59+AD59+#REF!+#REF!+BE59+BG59,0)</f>
        <v>#REF!</v>
      </c>
      <c r="BI59" s="59" t="e">
        <f t="shared" si="621"/>
        <v>#REF!</v>
      </c>
      <c r="BJ59" s="167" t="e">
        <f t="shared" si="622"/>
        <v>#REF!</v>
      </c>
      <c r="BK59" s="170">
        <f t="shared" si="623"/>
        <v>4619.2846349381998</v>
      </c>
      <c r="BL59" s="59">
        <v>3691</v>
      </c>
      <c r="BM59" s="59">
        <f t="shared" si="624"/>
        <v>3351.6551742479701</v>
      </c>
      <c r="BN59" s="59">
        <f t="shared" si="625"/>
        <v>1267.62946069023</v>
      </c>
      <c r="BO59" s="43">
        <f t="shared" si="492"/>
        <v>0.37820998724150001</v>
      </c>
    </row>
    <row r="60" s="5" customFormat="1" ht="17" customHeight="1">
      <c r="A60" s="46">
        <v>34</v>
      </c>
      <c r="B60" s="82" t="s">
        <v>107</v>
      </c>
      <c r="C60" s="46" t="s">
        <v>93</v>
      </c>
      <c r="D60" s="46">
        <v>2020</v>
      </c>
      <c r="E60" s="46" t="s">
        <v>94</v>
      </c>
      <c r="F60" s="46"/>
      <c r="G60" s="73" t="e">
        <f>VLOOKUP(B:B,#REF!,2,0)</f>
        <v>#REF!</v>
      </c>
      <c r="H60" s="73" t="e">
        <f t="shared" si="608"/>
        <v>#REF!</v>
      </c>
      <c r="I60" s="59" t="e">
        <f>VLOOKUP(B60,#REF!,4,0)</f>
        <v>#REF!</v>
      </c>
      <c r="J60" s="59" t="e">
        <f>VLOOKUP(B60,#REF!,2,0)</f>
        <v>#REF!</v>
      </c>
      <c r="K60" s="73" t="e">
        <f t="shared" si="609"/>
        <v>#REF!</v>
      </c>
      <c r="L60" s="73" t="e">
        <f t="shared" si="610"/>
        <v>#REF!</v>
      </c>
      <c r="M60" s="59">
        <v>73049</v>
      </c>
      <c r="N60" s="59">
        <v>15995</v>
      </c>
      <c r="O60" s="73">
        <v>314717</v>
      </c>
      <c r="P60" s="59">
        <f t="shared" si="597"/>
        <v>314717</v>
      </c>
      <c r="Q60" s="59">
        <f t="shared" si="598"/>
        <v>0</v>
      </c>
      <c r="R60" s="59">
        <f t="shared" si="599"/>
        <v>0</v>
      </c>
      <c r="S60" s="59">
        <f t="shared" si="600"/>
        <v>0</v>
      </c>
      <c r="T60" s="59">
        <f t="shared" si="601"/>
        <v>0</v>
      </c>
      <c r="U60" s="59">
        <f t="shared" si="602"/>
        <v>314717</v>
      </c>
      <c r="V60" s="59">
        <v>38583</v>
      </c>
      <c r="W60" s="59">
        <f t="shared" si="627"/>
        <v>38583</v>
      </c>
      <c r="X60" s="59">
        <v>83627</v>
      </c>
      <c r="Y60" s="59">
        <f t="shared" si="611"/>
        <v>62768</v>
      </c>
      <c r="Z60" s="59"/>
      <c r="AA60" s="59">
        <v>62768</v>
      </c>
      <c r="AB60" s="59"/>
      <c r="AC60" s="59">
        <v>5229</v>
      </c>
      <c r="AD60" s="59">
        <f t="shared" si="612"/>
        <v>26080.832031188402</v>
      </c>
      <c r="AE60" s="59">
        <v>9862.1700000000001</v>
      </c>
      <c r="AF60" s="62">
        <f t="shared" si="613"/>
        <v>0.93534795756670197</v>
      </c>
      <c r="AG60" s="62">
        <f t="shared" si="614"/>
        <v>33.045843340831603</v>
      </c>
      <c r="AH60" s="62">
        <f t="shared" si="628"/>
        <v>33.045843340831603</v>
      </c>
      <c r="AI60" s="59">
        <f t="shared" si="615"/>
        <v>9850.2053940387705</v>
      </c>
      <c r="AJ60" s="59">
        <f t="shared" si="629"/>
        <v>314717</v>
      </c>
      <c r="AK60" s="59">
        <f t="shared" si="630"/>
        <v>223.903964226564</v>
      </c>
      <c r="AL60" s="59">
        <v>19899.93</v>
      </c>
      <c r="AM60" s="59">
        <v>69</v>
      </c>
      <c r="AN60" s="62">
        <v>1</v>
      </c>
      <c r="AO60" s="59">
        <f t="shared" si="616"/>
        <v>2241.3988105015101</v>
      </c>
      <c r="AP60" s="59"/>
      <c r="AQ60" s="59"/>
      <c r="AR60" s="59">
        <v>173422</v>
      </c>
      <c r="AS60" s="59">
        <f t="shared" si="617"/>
        <v>2375.5494644733299</v>
      </c>
      <c r="AT60" s="189">
        <v>3.3357999999999999</v>
      </c>
      <c r="AU60" s="59">
        <f t="shared" si="618"/>
        <v>2422.1292489642201</v>
      </c>
      <c r="AV60" s="59">
        <v>2</v>
      </c>
      <c r="AW60" s="59">
        <f t="shared" si="626"/>
        <v>2000</v>
      </c>
      <c r="AX60" s="59">
        <v>20885</v>
      </c>
      <c r="AY60" s="62">
        <v>78.069999999999993</v>
      </c>
      <c r="AZ60" s="62" t="s">
        <v>440</v>
      </c>
      <c r="BA60" s="59"/>
      <c r="BB60" s="59" t="s">
        <v>443</v>
      </c>
      <c r="BC60" s="59"/>
      <c r="BD60" s="62">
        <v>38.118452539281598</v>
      </c>
      <c r="BE60" s="59">
        <f t="shared" si="619"/>
        <v>477.744076743829</v>
      </c>
      <c r="BF60" s="62" t="e">
        <f>VLOOKUP(B60,'2022年项目库建设情况'!B:O,14,0)</f>
        <v>#N/A</v>
      </c>
      <c r="BG60" s="59" t="e">
        <f t="shared" si="620"/>
        <v>#N/A</v>
      </c>
      <c r="BH60" s="53" t="e">
        <f>ROUND(AI60+AD60+#REF!+#REF!+BE60+BG60,0)</f>
        <v>#REF!</v>
      </c>
      <c r="BI60" s="59" t="e">
        <f t="shared" si="621"/>
        <v>#REF!</v>
      </c>
      <c r="BJ60" s="167" t="e">
        <f t="shared" si="622"/>
        <v>#REF!</v>
      </c>
      <c r="BK60" s="170">
        <f t="shared" si="623"/>
        <v>66332.859025910104</v>
      </c>
      <c r="BL60" s="59">
        <v>73049</v>
      </c>
      <c r="BM60" s="59">
        <f t="shared" si="624"/>
        <v>66332.988031330198</v>
      </c>
      <c r="BN60" s="59">
        <f t="shared" si="625"/>
        <v>-0.12900542016723199</v>
      </c>
      <c r="BO60" s="43">
        <f t="shared" si="492"/>
        <v>-1.9448154530035699e-006</v>
      </c>
      <c r="BP60" s="4"/>
    </row>
    <row r="61" s="64" customFormat="1" ht="17" customHeight="1">
      <c r="A61" s="65"/>
      <c r="B61" s="66" t="s">
        <v>110</v>
      </c>
      <c r="C61" s="67">
        <v>1</v>
      </c>
      <c r="D61" s="67"/>
      <c r="E61" s="67"/>
      <c r="F61" s="68"/>
      <c r="G61" s="69" t="e">
        <f t="shared" ref="G61:M61" si="633">G62+G63</f>
        <v>#REF!</v>
      </c>
      <c r="H61" s="69" t="e">
        <f t="shared" si="633"/>
        <v>#REF!</v>
      </c>
      <c r="I61" s="69" t="e">
        <f t="shared" si="633"/>
        <v>#REF!</v>
      </c>
      <c r="J61" s="69" t="e">
        <f t="shared" si="633"/>
        <v>#REF!</v>
      </c>
      <c r="K61" s="69" t="e">
        <f t="shared" si="633"/>
        <v>#REF!</v>
      </c>
      <c r="L61" s="69" t="e">
        <f t="shared" si="633"/>
        <v>#REF!</v>
      </c>
      <c r="M61" s="69">
        <f t="shared" si="633"/>
        <v>16255</v>
      </c>
      <c r="N61" s="69">
        <v>1496</v>
      </c>
      <c r="O61" s="69">
        <f t="shared" ref="O61:AD61" si="634">O62+O63</f>
        <v>85777</v>
      </c>
      <c r="P61" s="69">
        <f t="shared" si="634"/>
        <v>17155.400000000001</v>
      </c>
      <c r="Q61" s="69">
        <f t="shared" si="634"/>
        <v>17155.400000000001</v>
      </c>
      <c r="R61" s="69">
        <f t="shared" si="634"/>
        <v>0</v>
      </c>
      <c r="S61" s="69">
        <f t="shared" si="634"/>
        <v>0</v>
      </c>
      <c r="T61" s="69">
        <f t="shared" si="634"/>
        <v>0</v>
      </c>
      <c r="U61" s="69">
        <f t="shared" si="634"/>
        <v>0</v>
      </c>
      <c r="V61" s="69">
        <f t="shared" si="634"/>
        <v>10598</v>
      </c>
      <c r="W61" s="69">
        <f t="shared" si="634"/>
        <v>2119.5999999999999</v>
      </c>
      <c r="X61" s="69">
        <f t="shared" si="634"/>
        <v>5246</v>
      </c>
      <c r="Y61" s="69">
        <f t="shared" si="634"/>
        <v>0</v>
      </c>
      <c r="Z61" s="69">
        <f t="shared" si="634"/>
        <v>0</v>
      </c>
      <c r="AA61" s="69">
        <f t="shared" si="634"/>
        <v>0</v>
      </c>
      <c r="AB61" s="69">
        <f t="shared" si="634"/>
        <v>0</v>
      </c>
      <c r="AC61" s="69">
        <f t="shared" si="634"/>
        <v>2860</v>
      </c>
      <c r="AD61" s="69">
        <f t="shared" si="634"/>
        <v>4188.8623872046301</v>
      </c>
      <c r="AE61" s="69"/>
      <c r="AF61" s="69">
        <f t="shared" ref="AF61:AL61" si="635">AF62+AF63</f>
        <v>3.95858170540034</v>
      </c>
      <c r="AG61" s="69">
        <f t="shared" si="635"/>
        <v>4.1529175456913201</v>
      </c>
      <c r="AH61" s="69">
        <f t="shared" si="635"/>
        <v>0.83058350913826295</v>
      </c>
      <c r="AI61" s="69">
        <f t="shared" si="635"/>
        <v>247.57782930612601</v>
      </c>
      <c r="AJ61" s="69">
        <f t="shared" si="635"/>
        <v>0</v>
      </c>
      <c r="AK61" s="69">
        <f t="shared" si="635"/>
        <v>0</v>
      </c>
      <c r="AL61" s="69">
        <f t="shared" si="635"/>
        <v>7595.6400000000003</v>
      </c>
      <c r="AM61" s="69">
        <v>84</v>
      </c>
      <c r="AN61" s="71">
        <v>5.5281608287293604</v>
      </c>
      <c r="AO61" s="69">
        <f t="shared" ref="AO61:AX61" si="636">AO62+AO63</f>
        <v>855.52353505754502</v>
      </c>
      <c r="AP61" s="69">
        <f t="shared" si="636"/>
        <v>0</v>
      </c>
      <c r="AQ61" s="69"/>
      <c r="AR61" s="69">
        <f t="shared" si="636"/>
        <v>42959</v>
      </c>
      <c r="AS61" s="69">
        <f t="shared" si="636"/>
        <v>588.45607503263602</v>
      </c>
      <c r="AT61" s="69">
        <f t="shared" si="636"/>
        <v>0.85999999999999999</v>
      </c>
      <c r="AU61" s="69">
        <f t="shared" si="636"/>
        <v>624.44725526387299</v>
      </c>
      <c r="AV61" s="69">
        <f t="shared" si="636"/>
        <v>9</v>
      </c>
      <c r="AW61" s="69">
        <f t="shared" si="636"/>
        <v>9000</v>
      </c>
      <c r="AX61" s="69">
        <f t="shared" si="636"/>
        <v>0</v>
      </c>
      <c r="AY61" s="71"/>
      <c r="AZ61" s="69">
        <f t="shared" ref="AZ61:BK61" si="637">AZ62+AZ63</f>
        <v>0</v>
      </c>
      <c r="BA61" s="69">
        <f t="shared" si="637"/>
        <v>3500</v>
      </c>
      <c r="BB61" s="69"/>
      <c r="BC61" s="69">
        <f t="shared" si="637"/>
        <v>2400</v>
      </c>
      <c r="BD61" s="71">
        <f t="shared" si="637"/>
        <v>248.457773008022</v>
      </c>
      <c r="BE61" s="69">
        <f t="shared" si="637"/>
        <v>3113.9571905030498</v>
      </c>
      <c r="BF61" s="71" t="e">
        <f t="shared" si="637"/>
        <v>#N/A</v>
      </c>
      <c r="BG61" s="69" t="e">
        <f t="shared" si="637"/>
        <v>#N/A</v>
      </c>
      <c r="BH61" s="70" t="e">
        <f t="shared" si="637"/>
        <v>#REF!</v>
      </c>
      <c r="BI61" s="70" t="e">
        <f t="shared" si="637"/>
        <v>#REF!</v>
      </c>
      <c r="BJ61" s="183" t="e">
        <f t="shared" si="637"/>
        <v>#REF!</v>
      </c>
      <c r="BK61" s="184">
        <f t="shared" si="637"/>
        <v>24518.8242723679</v>
      </c>
      <c r="BL61" s="69">
        <v>16255</v>
      </c>
      <c r="BM61" s="184">
        <f>BM62+BM63</f>
        <v>14760.5404652942</v>
      </c>
      <c r="BN61" s="184">
        <f>BN62+BN63</f>
        <v>9758.2838070737107</v>
      </c>
      <c r="BO61" s="43">
        <f t="shared" si="492"/>
        <v>0.66110613158223797</v>
      </c>
      <c r="BP61" s="185"/>
    </row>
    <row r="62" s="5" customFormat="1" ht="17" customHeight="1">
      <c r="A62" s="44"/>
      <c r="B62" s="72" t="s">
        <v>111</v>
      </c>
      <c r="C62" s="46">
        <v>2</v>
      </c>
      <c r="D62" s="46"/>
      <c r="E62" s="46"/>
      <c r="F62" s="46"/>
      <c r="G62" s="73"/>
      <c r="H62" s="73"/>
      <c r="I62" s="73"/>
      <c r="J62" s="73"/>
      <c r="K62" s="73"/>
      <c r="L62" s="73"/>
      <c r="M62" s="73"/>
      <c r="N62" s="73"/>
      <c r="O62" s="73"/>
      <c r="P62" s="59">
        <f t="shared" ref="P62:P72" si="638">SUM(Q62:U62)</f>
        <v>0</v>
      </c>
      <c r="Q62" s="59">
        <f t="shared" ref="Q62:Q72" si="639">IF(D62="",O62*0.2,0)</f>
        <v>0</v>
      </c>
      <c r="R62" s="59">
        <f t="shared" ref="R62:R72" si="640">IF(D62=2017,O62*0.4,0)</f>
        <v>0</v>
      </c>
      <c r="S62" s="59">
        <f t="shared" ref="S62:S72" si="641">IF(D62=2018,O62*0.6,0)</f>
        <v>0</v>
      </c>
      <c r="T62" s="59">
        <f t="shared" ref="T62:T72" si="642">IF(D62=2019,O62*0.8,0)</f>
        <v>0</v>
      </c>
      <c r="U62" s="59">
        <f t="shared" ref="U62:U72" si="643">IF(D62=2020,O62*1,0)</f>
        <v>0</v>
      </c>
      <c r="V62" s="59"/>
      <c r="W62" s="59"/>
      <c r="X62" s="59"/>
      <c r="Y62" s="59">
        <f>T62*0.4+U62*0.6+V62*0.8+X62*1</f>
        <v>0</v>
      </c>
      <c r="Z62" s="59"/>
      <c r="AA62" s="59"/>
      <c r="AB62" s="59"/>
      <c r="AC62" s="59"/>
      <c r="AD62" s="59"/>
      <c r="AE62" s="59"/>
      <c r="AF62" s="62"/>
      <c r="AG62" s="62"/>
      <c r="AH62" s="62"/>
      <c r="AI62" s="59"/>
      <c r="AJ62" s="59"/>
      <c r="AK62" s="59"/>
      <c r="AL62" s="59"/>
      <c r="AM62" s="59"/>
      <c r="AN62" s="62"/>
      <c r="AO62" s="59"/>
      <c r="AP62" s="59"/>
      <c r="AQ62" s="59"/>
      <c r="AR62" s="59"/>
      <c r="AS62" s="59"/>
      <c r="AT62" s="59"/>
      <c r="AU62" s="59"/>
      <c r="AV62" s="59"/>
      <c r="AW62" s="59"/>
      <c r="AX62" s="59"/>
      <c r="AY62" s="62"/>
      <c r="AZ62" s="62"/>
      <c r="BA62" s="59"/>
      <c r="BB62" s="59"/>
      <c r="BC62" s="59"/>
      <c r="BD62" s="62"/>
      <c r="BE62" s="59"/>
      <c r="BF62" s="62"/>
      <c r="BG62" s="59"/>
      <c r="BH62" s="53"/>
      <c r="BI62" s="59"/>
      <c r="BJ62" s="182"/>
      <c r="BK62" s="170"/>
      <c r="BL62" s="73"/>
      <c r="BM62" s="170"/>
      <c r="BN62" s="50"/>
      <c r="BO62" s="43"/>
      <c r="BP62" s="4"/>
    </row>
    <row r="63" s="74" customFormat="1" ht="17" customHeight="1">
      <c r="A63" s="75"/>
      <c r="B63" s="76" t="s">
        <v>76</v>
      </c>
      <c r="C63" s="77">
        <v>3</v>
      </c>
      <c r="D63" s="77"/>
      <c r="E63" s="77"/>
      <c r="F63" s="78"/>
      <c r="G63" s="79" t="e">
        <f t="shared" ref="G63:M63" si="644">SUM(G64:G72)</f>
        <v>#REF!</v>
      </c>
      <c r="H63" s="79" t="e">
        <f t="shared" si="644"/>
        <v>#REF!</v>
      </c>
      <c r="I63" s="79" t="e">
        <f t="shared" si="644"/>
        <v>#REF!</v>
      </c>
      <c r="J63" s="79" t="e">
        <f t="shared" si="644"/>
        <v>#REF!</v>
      </c>
      <c r="K63" s="79" t="e">
        <f t="shared" si="644"/>
        <v>#REF!</v>
      </c>
      <c r="L63" s="79" t="e">
        <f t="shared" si="644"/>
        <v>#REF!</v>
      </c>
      <c r="M63" s="79">
        <f t="shared" si="644"/>
        <v>16255</v>
      </c>
      <c r="N63" s="79">
        <v>1496</v>
      </c>
      <c r="O63" s="79">
        <f t="shared" ref="O63:AD63" si="645">SUM(O64:O72)</f>
        <v>85777</v>
      </c>
      <c r="P63" s="79">
        <f t="shared" si="645"/>
        <v>17155.400000000001</v>
      </c>
      <c r="Q63" s="79">
        <f t="shared" si="645"/>
        <v>17155.400000000001</v>
      </c>
      <c r="R63" s="79">
        <f t="shared" si="645"/>
        <v>0</v>
      </c>
      <c r="S63" s="79">
        <f t="shared" si="645"/>
        <v>0</v>
      </c>
      <c r="T63" s="79">
        <f t="shared" si="645"/>
        <v>0</v>
      </c>
      <c r="U63" s="79">
        <f t="shared" si="645"/>
        <v>0</v>
      </c>
      <c r="V63" s="79">
        <f t="shared" si="645"/>
        <v>10598</v>
      </c>
      <c r="W63" s="79">
        <f t="shared" si="645"/>
        <v>2119.5999999999999</v>
      </c>
      <c r="X63" s="79">
        <f t="shared" si="645"/>
        <v>5246</v>
      </c>
      <c r="Y63" s="79">
        <f t="shared" si="645"/>
        <v>0</v>
      </c>
      <c r="Z63" s="79">
        <f t="shared" si="645"/>
        <v>0</v>
      </c>
      <c r="AA63" s="79">
        <f t="shared" si="645"/>
        <v>0</v>
      </c>
      <c r="AB63" s="79">
        <f t="shared" si="645"/>
        <v>0</v>
      </c>
      <c r="AC63" s="79">
        <f t="shared" si="645"/>
        <v>2860</v>
      </c>
      <c r="AD63" s="79">
        <f t="shared" si="645"/>
        <v>4188.8623872046301</v>
      </c>
      <c r="AE63" s="79"/>
      <c r="AF63" s="79">
        <f t="shared" ref="AF63:AL63" si="646">SUM(AF64:AF72)</f>
        <v>3.95858170540034</v>
      </c>
      <c r="AG63" s="79">
        <f t="shared" si="646"/>
        <v>4.1529175456913201</v>
      </c>
      <c r="AH63" s="79">
        <f t="shared" si="646"/>
        <v>0.83058350913826295</v>
      </c>
      <c r="AI63" s="79">
        <f t="shared" si="646"/>
        <v>247.57782930612601</v>
      </c>
      <c r="AJ63" s="79">
        <f t="shared" si="646"/>
        <v>0</v>
      </c>
      <c r="AK63" s="79">
        <f t="shared" si="646"/>
        <v>0</v>
      </c>
      <c r="AL63" s="79">
        <f t="shared" si="646"/>
        <v>7595.6400000000003</v>
      </c>
      <c r="AM63" s="79">
        <v>84</v>
      </c>
      <c r="AN63" s="81">
        <v>5.5281608287293604</v>
      </c>
      <c r="AO63" s="79">
        <f t="shared" ref="AO63:BA63" si="647">SUM(AO64:AO72)</f>
        <v>855.52353505754502</v>
      </c>
      <c r="AP63" s="79">
        <f t="shared" si="647"/>
        <v>0</v>
      </c>
      <c r="AQ63" s="79"/>
      <c r="AR63" s="79">
        <f t="shared" si="647"/>
        <v>42959</v>
      </c>
      <c r="AS63" s="79">
        <f t="shared" si="647"/>
        <v>588.45607503263602</v>
      </c>
      <c r="AT63" s="79">
        <f t="shared" si="647"/>
        <v>0.85999999999999999</v>
      </c>
      <c r="AU63" s="79">
        <f t="shared" si="647"/>
        <v>624.44725526387299</v>
      </c>
      <c r="AV63" s="79">
        <f t="shared" si="647"/>
        <v>9</v>
      </c>
      <c r="AW63" s="79">
        <f t="shared" si="647"/>
        <v>9000</v>
      </c>
      <c r="AX63" s="79">
        <f t="shared" si="647"/>
        <v>0</v>
      </c>
      <c r="AY63" s="79">
        <f t="shared" si="647"/>
        <v>741.20000000000005</v>
      </c>
      <c r="AZ63" s="79">
        <f t="shared" si="647"/>
        <v>0</v>
      </c>
      <c r="BA63" s="79">
        <f t="shared" si="647"/>
        <v>3500</v>
      </c>
      <c r="BB63" s="79"/>
      <c r="BC63" s="79">
        <f t="shared" ref="BC63:BK63" si="648">SUM(BC64:BC72)</f>
        <v>2400</v>
      </c>
      <c r="BD63" s="81">
        <f t="shared" si="648"/>
        <v>248.457773008022</v>
      </c>
      <c r="BE63" s="79">
        <f t="shared" si="648"/>
        <v>3113.9571905030498</v>
      </c>
      <c r="BF63" s="81" t="e">
        <f t="shared" si="648"/>
        <v>#N/A</v>
      </c>
      <c r="BG63" s="79" t="e">
        <f t="shared" si="648"/>
        <v>#N/A</v>
      </c>
      <c r="BH63" s="80" t="e">
        <f t="shared" si="648"/>
        <v>#REF!</v>
      </c>
      <c r="BI63" s="80" t="e">
        <f t="shared" si="648"/>
        <v>#REF!</v>
      </c>
      <c r="BJ63" s="186" t="e">
        <f t="shared" si="648"/>
        <v>#REF!</v>
      </c>
      <c r="BK63" s="187">
        <f t="shared" si="648"/>
        <v>24518.8242723679</v>
      </c>
      <c r="BL63" s="79">
        <v>16255</v>
      </c>
      <c r="BM63" s="187">
        <f>SUM(BM64:BM72)</f>
        <v>14760.5404652942</v>
      </c>
      <c r="BN63" s="187">
        <f>SUM(BN64:BN72)</f>
        <v>9758.2838070737107</v>
      </c>
      <c r="BO63" s="43">
        <f t="shared" si="492"/>
        <v>0.66110613158223797</v>
      </c>
      <c r="BP63" s="188"/>
    </row>
    <row r="64" ht="17" customHeight="1">
      <c r="A64" s="46">
        <v>35</v>
      </c>
      <c r="B64" s="82" t="s">
        <v>112</v>
      </c>
      <c r="C64" s="46" t="s">
        <v>78</v>
      </c>
      <c r="D64" s="46"/>
      <c r="E64" s="46"/>
      <c r="F64" s="46"/>
      <c r="G64" s="73" t="e">
        <f>VLOOKUP(B:B,#REF!,2,0)</f>
        <v>#REF!</v>
      </c>
      <c r="H64" s="73" t="e">
        <f t="shared" ref="H64:H72" si="649">G64*299423/381298.76</f>
        <v>#REF!</v>
      </c>
      <c r="I64" s="59" t="e">
        <f>VLOOKUP(B64,#REF!,4,0)</f>
        <v>#REF!</v>
      </c>
      <c r="J64" s="59" t="e">
        <f>VLOOKUP(B64,#REF!,2,0)</f>
        <v>#REF!</v>
      </c>
      <c r="K64" s="73" t="e">
        <f t="shared" ref="K64:K72" si="650">I64*1485211/1408452</f>
        <v>#REF!</v>
      </c>
      <c r="L64" s="73" t="e">
        <f t="shared" ref="L64:L72" si="651">J64*1485211/1408452</f>
        <v>#REF!</v>
      </c>
      <c r="M64" s="59">
        <v>1622</v>
      </c>
      <c r="N64" s="59">
        <v>125</v>
      </c>
      <c r="O64" s="73">
        <v>5253</v>
      </c>
      <c r="P64" s="59">
        <f t="shared" si="638"/>
        <v>1050.5999999999999</v>
      </c>
      <c r="Q64" s="59">
        <f t="shared" si="639"/>
        <v>1050.5999999999999</v>
      </c>
      <c r="R64" s="59">
        <f t="shared" si="640"/>
        <v>0</v>
      </c>
      <c r="S64" s="59">
        <f t="shared" si="641"/>
        <v>0</v>
      </c>
      <c r="T64" s="59">
        <f t="shared" si="642"/>
        <v>0</v>
      </c>
      <c r="U64" s="59">
        <f t="shared" si="643"/>
        <v>0</v>
      </c>
      <c r="V64" s="59">
        <v>118</v>
      </c>
      <c r="W64" s="59">
        <f t="shared" ref="W64:W72" si="652">V64*0.2</f>
        <v>23.600000000000001</v>
      </c>
      <c r="X64" s="59">
        <v>343</v>
      </c>
      <c r="Y64" s="59">
        <f t="shared" ref="Y64:Y72" si="653">Z64+AA64+AB64*1.2</f>
        <v>0</v>
      </c>
      <c r="Z64" s="59"/>
      <c r="AA64" s="59"/>
      <c r="AB64" s="59"/>
      <c r="AC64" s="59">
        <v>212</v>
      </c>
      <c r="AD64" s="59">
        <f t="shared" ref="AD64:AD72" si="654">O64/$O$9*202299+W64/$W$9*134866+AC64/$AC$9*34867+X64/$X$9*100000</f>
        <v>248.481885606877</v>
      </c>
      <c r="AE64" s="59">
        <v>15658.540000000001</v>
      </c>
      <c r="AF64" s="62">
        <f t="shared" ref="AF64:AF72" si="655">($AE$64-AE64)/($AE$64-$AE$44)</f>
        <v>0</v>
      </c>
      <c r="AG64" s="62">
        <f t="shared" ref="AG64:AG72" si="656">(O64+V64)*AF64/10000</f>
        <v>0</v>
      </c>
      <c r="AH64" s="62">
        <f t="shared" ref="AH64:AH72" si="657">AG64*0.2</f>
        <v>0</v>
      </c>
      <c r="AI64" s="59">
        <f t="shared" ref="AI64:AI72" si="658">AH64/$AH$9*1348663*0.1</f>
        <v>0</v>
      </c>
      <c r="AJ64" s="59"/>
      <c r="AK64" s="59"/>
      <c r="AL64" s="59">
        <v>667.96000000000004</v>
      </c>
      <c r="AM64" s="59">
        <v>15</v>
      </c>
      <c r="AN64" s="62">
        <v>0.90856192851205297</v>
      </c>
      <c r="AO64" s="59">
        <f t="shared" ref="AO64:AO72" si="659">(AL64/$AL$9*80000)</f>
        <v>75.234674165315596</v>
      </c>
      <c r="AP64" s="59"/>
      <c r="AQ64" s="59"/>
      <c r="AR64" s="59">
        <v>2500</v>
      </c>
      <c r="AS64" s="59">
        <f t="shared" ref="AS64:AS72" si="660">AR64/$AR$9*50000</f>
        <v>34.245214916119799</v>
      </c>
      <c r="AT64" s="189">
        <v>4.0300000000000002e-002</v>
      </c>
      <c r="AU64" s="59">
        <f t="shared" ref="AU64:AU72" si="661">AT64/$AT$9*50000</f>
        <v>29.261888822248899</v>
      </c>
      <c r="AV64" s="59">
        <v>1</v>
      </c>
      <c r="AW64" s="59">
        <f t="shared" si="626"/>
        <v>1000</v>
      </c>
      <c r="AX64" s="59"/>
      <c r="AY64" s="62">
        <v>81.719999999999999</v>
      </c>
      <c r="AZ64" s="62" t="s">
        <v>442</v>
      </c>
      <c r="BA64" s="59">
        <v>500</v>
      </c>
      <c r="BB64" s="59" t="s">
        <v>443</v>
      </c>
      <c r="BC64" s="59"/>
      <c r="BD64" s="62">
        <v>33.1943681786789</v>
      </c>
      <c r="BE64" s="59">
        <f t="shared" ref="BE64:BE72" si="662">BD64/$BD$9*42266</f>
        <v>416.02981554079003</v>
      </c>
      <c r="BF64" s="62" t="e">
        <f>VLOOKUP(B64,'2022年项目库建设情况'!B:O,14,0)</f>
        <v>#N/A</v>
      </c>
      <c r="BG64" s="59" t="e">
        <f t="shared" ref="BG64:BG72" si="663">BF64/$BF$9*1348663*0.025</f>
        <v>#N/A</v>
      </c>
      <c r="BH64" s="53" t="e">
        <f>ROUND(AI64+AD64+#REF!+#REF!+BE64+BG64,0)</f>
        <v>#REF!</v>
      </c>
      <c r="BI64" s="59" t="e">
        <f t="shared" ref="BI64:BI72" si="664">N64-G64</f>
        <v>#REF!</v>
      </c>
      <c r="BJ64" s="167" t="e">
        <f t="shared" ref="BJ64:BJ72" si="665">BI64/G64</f>
        <v>#REF!</v>
      </c>
      <c r="BK64" s="170">
        <f t="shared" ref="BK64:BK72" si="666">AD64+AI64+AO64+AP64+AS64+AU64+AW64+AX64+BA64+BC64+BE64</f>
        <v>2303.25347905135</v>
      </c>
      <c r="BL64" s="59">
        <v>1622</v>
      </c>
      <c r="BM64" s="59">
        <f t="shared" ref="BM64:BM72" si="667">BL64/$BL$9*1348663</f>
        <v>1472.87583111087</v>
      </c>
      <c r="BN64" s="59">
        <f t="shared" ref="BN64:BN72" si="668">BK64-BM64</f>
        <v>830.37764794048496</v>
      </c>
      <c r="BO64" s="43">
        <f t="shared" si="492"/>
        <v>0.563779804380524</v>
      </c>
    </row>
    <row r="65" ht="17" customHeight="1">
      <c r="A65" s="46">
        <v>36</v>
      </c>
      <c r="B65" s="82" t="s">
        <v>115</v>
      </c>
      <c r="C65" s="46" t="s">
        <v>78</v>
      </c>
      <c r="D65" s="46"/>
      <c r="E65" s="46"/>
      <c r="F65" s="46"/>
      <c r="G65" s="73" t="e">
        <f>VLOOKUP(B:B,#REF!,2,0)</f>
        <v>#REF!</v>
      </c>
      <c r="H65" s="73" t="e">
        <f t="shared" si="649"/>
        <v>#REF!</v>
      </c>
      <c r="I65" s="59" t="e">
        <f>VLOOKUP(B65,#REF!,4,0)</f>
        <v>#REF!</v>
      </c>
      <c r="J65" s="59" t="e">
        <f>VLOOKUP(B65,#REF!,2,0)</f>
        <v>#REF!</v>
      </c>
      <c r="K65" s="73" t="e">
        <f t="shared" si="650"/>
        <v>#REF!</v>
      </c>
      <c r="L65" s="73" t="e">
        <f t="shared" si="651"/>
        <v>#REF!</v>
      </c>
      <c r="M65" s="59">
        <v>1499</v>
      </c>
      <c r="N65" s="59">
        <v>94</v>
      </c>
      <c r="O65" s="73">
        <v>2166</v>
      </c>
      <c r="P65" s="59">
        <f t="shared" si="638"/>
        <v>433.19999999999999</v>
      </c>
      <c r="Q65" s="59">
        <f t="shared" si="639"/>
        <v>433.19999999999999</v>
      </c>
      <c r="R65" s="59">
        <f t="shared" si="640"/>
        <v>0</v>
      </c>
      <c r="S65" s="59">
        <f t="shared" si="641"/>
        <v>0</v>
      </c>
      <c r="T65" s="59">
        <f t="shared" si="642"/>
        <v>0</v>
      </c>
      <c r="U65" s="59">
        <f t="shared" si="643"/>
        <v>0</v>
      </c>
      <c r="V65" s="59">
        <v>349</v>
      </c>
      <c r="W65" s="59">
        <f t="shared" si="652"/>
        <v>69.799999999999997</v>
      </c>
      <c r="X65" s="59">
        <v>88</v>
      </c>
      <c r="Y65" s="59">
        <f t="shared" si="653"/>
        <v>0</v>
      </c>
      <c r="Z65" s="59"/>
      <c r="AA65" s="59"/>
      <c r="AB65" s="59"/>
      <c r="AC65" s="59">
        <v>66</v>
      </c>
      <c r="AD65" s="59">
        <f t="shared" si="654"/>
        <v>102.743181375677</v>
      </c>
      <c r="AE65" s="59">
        <v>10967.09</v>
      </c>
      <c r="AF65" s="62">
        <f t="shared" si="655"/>
        <v>0.75704935598077805</v>
      </c>
      <c r="AG65" s="62">
        <f t="shared" si="656"/>
        <v>0.190397913029166</v>
      </c>
      <c r="AH65" s="62">
        <f t="shared" si="657"/>
        <v>3.80795826058331e-002</v>
      </c>
      <c r="AI65" s="59">
        <f t="shared" si="658"/>
        <v>11.3506472241626</v>
      </c>
      <c r="AJ65" s="59"/>
      <c r="AK65" s="59"/>
      <c r="AL65" s="59">
        <v>40</v>
      </c>
      <c r="AM65" s="59">
        <v>6</v>
      </c>
      <c r="AN65" s="62">
        <v>1</v>
      </c>
      <c r="AO65" s="59">
        <f t="shared" si="659"/>
        <v>4.5053400901440597</v>
      </c>
      <c r="AP65" s="59"/>
      <c r="AQ65" s="59"/>
      <c r="AR65" s="59">
        <v>1193</v>
      </c>
      <c r="AS65" s="59">
        <f t="shared" si="660"/>
        <v>16.3418165579724</v>
      </c>
      <c r="AT65" s="189">
        <v>1.3100000000000001e-002</v>
      </c>
      <c r="AU65" s="59">
        <f t="shared" si="661"/>
        <v>9.5119291208799197</v>
      </c>
      <c r="AV65" s="59">
        <v>1</v>
      </c>
      <c r="AW65" s="59">
        <f t="shared" si="626"/>
        <v>1000</v>
      </c>
      <c r="AX65" s="59"/>
      <c r="AY65" s="62">
        <v>75.890000000000001</v>
      </c>
      <c r="AZ65" s="62" t="s">
        <v>440</v>
      </c>
      <c r="BA65" s="59"/>
      <c r="BB65" s="59" t="s">
        <v>441</v>
      </c>
      <c r="BC65" s="59">
        <v>800</v>
      </c>
      <c r="BD65" s="62">
        <v>34.261498974613097</v>
      </c>
      <c r="BE65" s="59">
        <f t="shared" si="662"/>
        <v>429.40432008929201</v>
      </c>
      <c r="BF65" s="62" t="e">
        <f>VLOOKUP(B65,'2022年项目库建设情况'!B:O,14,0)</f>
        <v>#N/A</v>
      </c>
      <c r="BG65" s="59" t="e">
        <f t="shared" si="663"/>
        <v>#N/A</v>
      </c>
      <c r="BH65" s="53" t="e">
        <f>ROUND(AI65+AD65+#REF!+#REF!+BE65+BG65,0)</f>
        <v>#REF!</v>
      </c>
      <c r="BI65" s="59" t="e">
        <f t="shared" si="664"/>
        <v>#REF!</v>
      </c>
      <c r="BJ65" s="167" t="e">
        <f t="shared" si="665"/>
        <v>#REF!</v>
      </c>
      <c r="BK65" s="170">
        <f t="shared" si="666"/>
        <v>2373.8572344581298</v>
      </c>
      <c r="BL65" s="59">
        <v>1499</v>
      </c>
      <c r="BM65" s="59">
        <f t="shared" si="667"/>
        <v>1361.18426068754</v>
      </c>
      <c r="BN65" s="59">
        <f t="shared" si="668"/>
        <v>1012.67297377059</v>
      </c>
      <c r="BO65" s="43">
        <f t="shared" si="492"/>
        <v>0.74396465123618605</v>
      </c>
    </row>
    <row r="66" ht="17" customHeight="1">
      <c r="A66" s="46">
        <v>37</v>
      </c>
      <c r="B66" s="82" t="s">
        <v>113</v>
      </c>
      <c r="C66" s="46" t="s">
        <v>78</v>
      </c>
      <c r="D66" s="46"/>
      <c r="E66" s="46"/>
      <c r="F66" s="46"/>
      <c r="G66" s="73" t="e">
        <f>VLOOKUP(B:B,#REF!,2,0)</f>
        <v>#REF!</v>
      </c>
      <c r="H66" s="73" t="e">
        <f t="shared" si="649"/>
        <v>#REF!</v>
      </c>
      <c r="I66" s="59" t="e">
        <f>VLOOKUP(B66,#REF!,4,0)</f>
        <v>#REF!</v>
      </c>
      <c r="J66" s="59" t="e">
        <f>VLOOKUP(B66,#REF!,2,0)</f>
        <v>#REF!</v>
      </c>
      <c r="K66" s="73" t="e">
        <f t="shared" si="650"/>
        <v>#REF!</v>
      </c>
      <c r="L66" s="73" t="e">
        <f t="shared" si="651"/>
        <v>#REF!</v>
      </c>
      <c r="M66" s="59">
        <v>1799</v>
      </c>
      <c r="N66" s="59">
        <v>143</v>
      </c>
      <c r="O66" s="73">
        <v>6785</v>
      </c>
      <c r="P66" s="59">
        <f t="shared" si="638"/>
        <v>1357</v>
      </c>
      <c r="Q66" s="59">
        <f t="shared" si="639"/>
        <v>1357</v>
      </c>
      <c r="R66" s="59">
        <f t="shared" si="640"/>
        <v>0</v>
      </c>
      <c r="S66" s="59">
        <f t="shared" si="641"/>
        <v>0</v>
      </c>
      <c r="T66" s="59">
        <f t="shared" si="642"/>
        <v>0</v>
      </c>
      <c r="U66" s="59">
        <f t="shared" si="643"/>
        <v>0</v>
      </c>
      <c r="V66" s="59">
        <v>551</v>
      </c>
      <c r="W66" s="59">
        <f t="shared" si="652"/>
        <v>110.2</v>
      </c>
      <c r="X66" s="59">
        <v>19</v>
      </c>
      <c r="Y66" s="59">
        <f t="shared" si="653"/>
        <v>0</v>
      </c>
      <c r="Z66" s="59"/>
      <c r="AA66" s="59"/>
      <c r="AB66" s="59"/>
      <c r="AC66" s="59">
        <v>315</v>
      </c>
      <c r="AD66" s="59">
        <f t="shared" si="654"/>
        <v>302.327722439745</v>
      </c>
      <c r="AE66" s="59">
        <v>11997.51</v>
      </c>
      <c r="AF66" s="62">
        <f t="shared" si="655"/>
        <v>0.59077266169868703</v>
      </c>
      <c r="AG66" s="62">
        <f t="shared" si="656"/>
        <v>0.433390824622157</v>
      </c>
      <c r="AH66" s="62">
        <f t="shared" si="657"/>
        <v>8.6678164924431395e-002</v>
      </c>
      <c r="AI66" s="59">
        <f t="shared" si="658"/>
        <v>25.836766181998499</v>
      </c>
      <c r="AJ66" s="59"/>
      <c r="AK66" s="59"/>
      <c r="AL66" s="59">
        <v>79</v>
      </c>
      <c r="AM66" s="59">
        <v>1</v>
      </c>
      <c r="AN66" s="62">
        <v>0.519893899204244</v>
      </c>
      <c r="AO66" s="59">
        <f t="shared" si="659"/>
        <v>8.8980466780345093</v>
      </c>
      <c r="AP66" s="59"/>
      <c r="AQ66" s="59"/>
      <c r="AR66" s="59">
        <v>3553</v>
      </c>
      <c r="AS66" s="59">
        <f t="shared" si="660"/>
        <v>48.669299438789402</v>
      </c>
      <c r="AT66" s="189">
        <v>7.1099999999999997e-002</v>
      </c>
      <c r="AU66" s="59">
        <f t="shared" si="661"/>
        <v>51.625813778210897</v>
      </c>
      <c r="AV66" s="59">
        <v>1</v>
      </c>
      <c r="AW66" s="59">
        <f t="shared" si="626"/>
        <v>1000</v>
      </c>
      <c r="AX66" s="59"/>
      <c r="AY66" s="62">
        <v>84.739999999999995</v>
      </c>
      <c r="AZ66" s="62" t="s">
        <v>442</v>
      </c>
      <c r="BA66" s="59">
        <v>500</v>
      </c>
      <c r="BB66" s="59" t="s">
        <v>441</v>
      </c>
      <c r="BC66" s="59">
        <v>800</v>
      </c>
      <c r="BD66" s="62">
        <v>8.6551322252445995e-002</v>
      </c>
      <c r="BE66" s="59">
        <f t="shared" si="662"/>
        <v>1.08476023516016</v>
      </c>
      <c r="BF66" s="62" t="e">
        <f>VLOOKUP(B66,'2022年项目库建设情况'!B:O,14,0)</f>
        <v>#N/A</v>
      </c>
      <c r="BG66" s="59" t="e">
        <f t="shared" si="663"/>
        <v>#N/A</v>
      </c>
      <c r="BH66" s="53" t="e">
        <f>ROUND(AI66+AD66+#REF!+#REF!+BE66+BG66,0)</f>
        <v>#REF!</v>
      </c>
      <c r="BI66" s="59" t="e">
        <f t="shared" si="664"/>
        <v>#REF!</v>
      </c>
      <c r="BJ66" s="167" t="e">
        <f t="shared" si="665"/>
        <v>#REF!</v>
      </c>
      <c r="BK66" s="170">
        <f t="shared" si="666"/>
        <v>2738.4424087519401</v>
      </c>
      <c r="BL66" s="59">
        <v>1799</v>
      </c>
      <c r="BM66" s="59">
        <f t="shared" si="667"/>
        <v>1633.60272513468</v>
      </c>
      <c r="BN66" s="59">
        <f t="shared" si="668"/>
        <v>1104.8396836172601</v>
      </c>
      <c r="BO66" s="43">
        <f t="shared" si="492"/>
        <v>0.67632091120940996</v>
      </c>
    </row>
    <row r="67" ht="17" customHeight="1">
      <c r="A67" s="46">
        <v>38</v>
      </c>
      <c r="B67" s="82" t="s">
        <v>114</v>
      </c>
      <c r="C67" s="46" t="s">
        <v>78</v>
      </c>
      <c r="D67" s="46"/>
      <c r="E67" s="46"/>
      <c r="F67" s="46"/>
      <c r="G67" s="73" t="e">
        <f>VLOOKUP(B:B,#REF!,2,0)</f>
        <v>#REF!</v>
      </c>
      <c r="H67" s="73" t="e">
        <f t="shared" si="649"/>
        <v>#REF!</v>
      </c>
      <c r="I67" s="59" t="e">
        <f>VLOOKUP(B67,#REF!,4,0)</f>
        <v>#REF!</v>
      </c>
      <c r="J67" s="59" t="e">
        <f>VLOOKUP(B67,#REF!,2,0)</f>
        <v>#REF!</v>
      </c>
      <c r="K67" s="73" t="e">
        <f t="shared" si="650"/>
        <v>#REF!</v>
      </c>
      <c r="L67" s="73" t="e">
        <f t="shared" si="651"/>
        <v>#REF!</v>
      </c>
      <c r="M67" s="59">
        <v>1786</v>
      </c>
      <c r="N67" s="59">
        <v>153</v>
      </c>
      <c r="O67" s="73">
        <v>6899</v>
      </c>
      <c r="P67" s="59">
        <f t="shared" si="638"/>
        <v>1379.8</v>
      </c>
      <c r="Q67" s="59">
        <f t="shared" si="639"/>
        <v>1379.8</v>
      </c>
      <c r="R67" s="59">
        <f t="shared" si="640"/>
        <v>0</v>
      </c>
      <c r="S67" s="59">
        <f t="shared" si="641"/>
        <v>0</v>
      </c>
      <c r="T67" s="59">
        <f t="shared" si="642"/>
        <v>0</v>
      </c>
      <c r="U67" s="59">
        <f t="shared" si="643"/>
        <v>0</v>
      </c>
      <c r="V67" s="59">
        <v>646</v>
      </c>
      <c r="W67" s="59">
        <f t="shared" si="652"/>
        <v>129.19999999999999</v>
      </c>
      <c r="X67" s="59">
        <v>272</v>
      </c>
      <c r="Y67" s="59">
        <f t="shared" si="653"/>
        <v>0</v>
      </c>
      <c r="Z67" s="59"/>
      <c r="AA67" s="59"/>
      <c r="AB67" s="59"/>
      <c r="AC67" s="59">
        <v>312</v>
      </c>
      <c r="AD67" s="59">
        <f t="shared" si="654"/>
        <v>333.87161140315698</v>
      </c>
      <c r="AE67" s="59">
        <v>12334.950000000001</v>
      </c>
      <c r="AF67" s="62">
        <f t="shared" si="655"/>
        <v>0.53632068316707104</v>
      </c>
      <c r="AG67" s="62">
        <f t="shared" si="656"/>
        <v>0.40465395544955501</v>
      </c>
      <c r="AH67" s="62">
        <f t="shared" si="657"/>
        <v>8.0930791089910997e-002</v>
      </c>
      <c r="AI67" s="59">
        <f t="shared" si="658"/>
        <v>24.123606310045702</v>
      </c>
      <c r="AJ67" s="59"/>
      <c r="AK67" s="59"/>
      <c r="AL67" s="59">
        <v>135</v>
      </c>
      <c r="AM67" s="59">
        <v>2</v>
      </c>
      <c r="AN67" s="62">
        <v>1.0869565217391301e-002</v>
      </c>
      <c r="AO67" s="59">
        <f t="shared" si="659"/>
        <v>15.2055228042362</v>
      </c>
      <c r="AP67" s="59"/>
      <c r="AQ67" s="59"/>
      <c r="AR67" s="59">
        <v>3444</v>
      </c>
      <c r="AS67" s="59">
        <f t="shared" si="660"/>
        <v>47.176208068446599</v>
      </c>
      <c r="AT67" s="189">
        <v>5.2299999999999999e-002</v>
      </c>
      <c r="AU67" s="59">
        <f t="shared" si="661"/>
        <v>37.975106337558799</v>
      </c>
      <c r="AV67" s="59">
        <v>1</v>
      </c>
      <c r="AW67" s="59">
        <f t="shared" si="626"/>
        <v>1000</v>
      </c>
      <c r="AX67" s="59"/>
      <c r="AY67" s="62">
        <v>84.200000000000003</v>
      </c>
      <c r="AZ67" s="62" t="s">
        <v>442</v>
      </c>
      <c r="BA67" s="59">
        <v>500</v>
      </c>
      <c r="BB67" s="59" t="s">
        <v>443</v>
      </c>
      <c r="BC67" s="59"/>
      <c r="BD67" s="62">
        <v>33.895927176402701</v>
      </c>
      <c r="BE67" s="59">
        <f t="shared" si="662"/>
        <v>424.82255588888</v>
      </c>
      <c r="BF67" s="62" t="e">
        <f>VLOOKUP(B67,'2022年项目库建设情况'!B:O,14,0)</f>
        <v>#N/A</v>
      </c>
      <c r="BG67" s="59" t="e">
        <f t="shared" si="663"/>
        <v>#N/A</v>
      </c>
      <c r="BH67" s="53" t="e">
        <f>ROUND(AI67+AD67+#REF!+#REF!+BE67+BG67,0)</f>
        <v>#REF!</v>
      </c>
      <c r="BI67" s="59" t="e">
        <f t="shared" si="664"/>
        <v>#REF!</v>
      </c>
      <c r="BJ67" s="167" t="e">
        <f t="shared" si="665"/>
        <v>#REF!</v>
      </c>
      <c r="BK67" s="170">
        <f t="shared" si="666"/>
        <v>2383.1746108123202</v>
      </c>
      <c r="BL67" s="59">
        <v>1786</v>
      </c>
      <c r="BM67" s="59">
        <f t="shared" si="667"/>
        <v>1621.79792500864</v>
      </c>
      <c r="BN67" s="59">
        <f t="shared" si="668"/>
        <v>761.37668580368904</v>
      </c>
      <c r="BO67" s="43">
        <f t="shared" si="492"/>
        <v>0.46946458252475298</v>
      </c>
    </row>
    <row r="68" ht="17" customHeight="1">
      <c r="A68" s="46">
        <v>39</v>
      </c>
      <c r="B68" s="82" t="s">
        <v>116</v>
      </c>
      <c r="C68" s="46" t="s">
        <v>78</v>
      </c>
      <c r="D68" s="46"/>
      <c r="E68" s="46"/>
      <c r="F68" s="46"/>
      <c r="G68" s="73" t="e">
        <f>VLOOKUP(B:B,#REF!,2,0)</f>
        <v>#REF!</v>
      </c>
      <c r="H68" s="73" t="e">
        <f t="shared" si="649"/>
        <v>#REF!</v>
      </c>
      <c r="I68" s="59" t="e">
        <f>VLOOKUP(B68,#REF!,4,0)</f>
        <v>#REF!</v>
      </c>
      <c r="J68" s="59" t="e">
        <f>VLOOKUP(B68,#REF!,2,0)</f>
        <v>#REF!</v>
      </c>
      <c r="K68" s="73" t="e">
        <f t="shared" si="650"/>
        <v>#REF!</v>
      </c>
      <c r="L68" s="73" t="e">
        <f t="shared" si="651"/>
        <v>#REF!</v>
      </c>
      <c r="M68" s="59">
        <v>1712</v>
      </c>
      <c r="N68" s="59">
        <v>148</v>
      </c>
      <c r="O68" s="73">
        <v>9464</v>
      </c>
      <c r="P68" s="59">
        <f t="shared" si="638"/>
        <v>1892.8</v>
      </c>
      <c r="Q68" s="59">
        <f t="shared" si="639"/>
        <v>1892.8</v>
      </c>
      <c r="R68" s="59">
        <f t="shared" si="640"/>
        <v>0</v>
      </c>
      <c r="S68" s="59">
        <f t="shared" si="641"/>
        <v>0</v>
      </c>
      <c r="T68" s="59">
        <f t="shared" si="642"/>
        <v>0</v>
      </c>
      <c r="U68" s="59">
        <f t="shared" si="643"/>
        <v>0</v>
      </c>
      <c r="V68" s="59">
        <v>956</v>
      </c>
      <c r="W68" s="59">
        <f t="shared" si="652"/>
        <v>191.19999999999999</v>
      </c>
      <c r="X68" s="59">
        <v>102</v>
      </c>
      <c r="Y68" s="59">
        <f t="shared" si="653"/>
        <v>0</v>
      </c>
      <c r="Z68" s="59"/>
      <c r="AA68" s="59"/>
      <c r="AB68" s="59"/>
      <c r="AC68" s="59">
        <v>280</v>
      </c>
      <c r="AD68" s="59">
        <f t="shared" si="654"/>
        <v>398.29139605363798</v>
      </c>
      <c r="AE68" s="59">
        <v>12056.07</v>
      </c>
      <c r="AF68" s="62">
        <f t="shared" si="655"/>
        <v>0.58132295845422499</v>
      </c>
      <c r="AG68" s="62">
        <f t="shared" si="656"/>
        <v>0.60573852270930195</v>
      </c>
      <c r="AH68" s="62">
        <f t="shared" si="657"/>
        <v>0.12114770454186</v>
      </c>
      <c r="AI68" s="59">
        <f t="shared" si="658"/>
        <v>36.111342671626304</v>
      </c>
      <c r="AJ68" s="59"/>
      <c r="AK68" s="59"/>
      <c r="AL68" s="59">
        <v>3636.0999999999999</v>
      </c>
      <c r="AM68" s="59">
        <v>8</v>
      </c>
      <c r="AN68" s="62">
        <v>0.78114334470989799</v>
      </c>
      <c r="AO68" s="59">
        <f t="shared" si="659"/>
        <v>409.54667754432</v>
      </c>
      <c r="AP68" s="59"/>
      <c r="AQ68" s="59"/>
      <c r="AR68" s="59">
        <v>4400</v>
      </c>
      <c r="AS68" s="59">
        <f t="shared" si="660"/>
        <v>60.271578252370801</v>
      </c>
      <c r="AT68" s="189">
        <v>9.9199999999999997e-002</v>
      </c>
      <c r="AU68" s="59">
        <f t="shared" si="661"/>
        <v>72.029264793228094</v>
      </c>
      <c r="AV68" s="59">
        <v>1</v>
      </c>
      <c r="AW68" s="59">
        <f t="shared" si="626"/>
        <v>1000</v>
      </c>
      <c r="AX68" s="59"/>
      <c r="AY68" s="62">
        <v>86.040000000000006</v>
      </c>
      <c r="AZ68" s="62" t="s">
        <v>442</v>
      </c>
      <c r="BA68" s="59">
        <v>500</v>
      </c>
      <c r="BB68" s="59" t="s">
        <v>441</v>
      </c>
      <c r="BC68" s="59">
        <v>800</v>
      </c>
      <c r="BD68" s="62">
        <v>34.020283273467598</v>
      </c>
      <c r="BE68" s="59">
        <f t="shared" si="662"/>
        <v>426.38112883248198</v>
      </c>
      <c r="BF68" s="62" t="e">
        <f>VLOOKUP(B68,'2022年项目库建设情况'!B:O,14,0)</f>
        <v>#N/A</v>
      </c>
      <c r="BG68" s="59" t="e">
        <f t="shared" si="663"/>
        <v>#N/A</v>
      </c>
      <c r="BH68" s="53" t="e">
        <f>ROUND(AI68+AD68+#REF!+#REF!+BE68+BG68,0)</f>
        <v>#REF!</v>
      </c>
      <c r="BI68" s="59" t="e">
        <f t="shared" si="664"/>
        <v>#REF!</v>
      </c>
      <c r="BJ68" s="167" t="e">
        <f t="shared" si="665"/>
        <v>#REF!</v>
      </c>
      <c r="BK68" s="170">
        <f t="shared" si="666"/>
        <v>3702.6313881476699</v>
      </c>
      <c r="BL68" s="59">
        <v>1712</v>
      </c>
      <c r="BM68" s="59">
        <f t="shared" si="667"/>
        <v>1554.6013704450099</v>
      </c>
      <c r="BN68" s="59">
        <f t="shared" si="668"/>
        <v>2148.0300177026602</v>
      </c>
      <c r="BO68" s="43">
        <f t="shared" si="492"/>
        <v>1.3817239959641701</v>
      </c>
    </row>
    <row r="69" ht="17" customHeight="1">
      <c r="A69" s="46">
        <v>40</v>
      </c>
      <c r="B69" s="82" t="s">
        <v>117</v>
      </c>
      <c r="C69" s="46" t="s">
        <v>78</v>
      </c>
      <c r="D69" s="46"/>
      <c r="E69" s="46"/>
      <c r="F69" s="46"/>
      <c r="G69" s="73" t="e">
        <f>VLOOKUP(B:B,#REF!,2,0)</f>
        <v>#REF!</v>
      </c>
      <c r="H69" s="73" t="e">
        <f t="shared" si="649"/>
        <v>#REF!</v>
      </c>
      <c r="I69" s="59" t="e">
        <f>VLOOKUP(B69,#REF!,4,0)</f>
        <v>#REF!</v>
      </c>
      <c r="J69" s="59" t="e">
        <f>VLOOKUP(B69,#REF!,2,0)</f>
        <v>#REF!</v>
      </c>
      <c r="K69" s="73" t="e">
        <f t="shared" si="650"/>
        <v>#REF!</v>
      </c>
      <c r="L69" s="73" t="e">
        <f t="shared" si="651"/>
        <v>#REF!</v>
      </c>
      <c r="M69" s="59">
        <v>1908</v>
      </c>
      <c r="N69" s="59">
        <v>183</v>
      </c>
      <c r="O69" s="73">
        <v>11773</v>
      </c>
      <c r="P69" s="59">
        <f t="shared" si="638"/>
        <v>2354.5999999999999</v>
      </c>
      <c r="Q69" s="59">
        <f t="shared" si="639"/>
        <v>2354.5999999999999</v>
      </c>
      <c r="R69" s="59">
        <f t="shared" si="640"/>
        <v>0</v>
      </c>
      <c r="S69" s="59">
        <f t="shared" si="641"/>
        <v>0</v>
      </c>
      <c r="T69" s="59">
        <f t="shared" si="642"/>
        <v>0</v>
      </c>
      <c r="U69" s="59">
        <f t="shared" si="643"/>
        <v>0</v>
      </c>
      <c r="V69" s="59">
        <v>1081</v>
      </c>
      <c r="W69" s="59">
        <f t="shared" si="652"/>
        <v>216.19999999999999</v>
      </c>
      <c r="X69" s="59">
        <v>1238</v>
      </c>
      <c r="Y69" s="59">
        <f t="shared" si="653"/>
        <v>0</v>
      </c>
      <c r="Z69" s="59"/>
      <c r="AA69" s="59"/>
      <c r="AB69" s="59"/>
      <c r="AC69" s="59">
        <v>521</v>
      </c>
      <c r="AD69" s="59">
        <f t="shared" si="654"/>
        <v>643.96798549232801</v>
      </c>
      <c r="AE69" s="59">
        <v>14172.93</v>
      </c>
      <c r="AF69" s="62">
        <f t="shared" si="655"/>
        <v>0.239729741069095</v>
      </c>
      <c r="AG69" s="62">
        <f t="shared" si="656"/>
        <v>0.30814860917021403</v>
      </c>
      <c r="AH69" s="62">
        <f t="shared" si="657"/>
        <v>6.1629721834042799e-002</v>
      </c>
      <c r="AI69" s="59">
        <f t="shared" si="658"/>
        <v>18.370401753151999</v>
      </c>
      <c r="AJ69" s="59"/>
      <c r="AK69" s="59"/>
      <c r="AL69" s="59">
        <v>215</v>
      </c>
      <c r="AM69" s="59">
        <v>19</v>
      </c>
      <c r="AN69" s="62">
        <v>0.81467889908256896</v>
      </c>
      <c r="AO69" s="59">
        <f t="shared" si="659"/>
        <v>24.216202984524301</v>
      </c>
      <c r="AP69" s="59"/>
      <c r="AQ69" s="59"/>
      <c r="AR69" s="59">
        <v>5943</v>
      </c>
      <c r="AS69" s="59">
        <f t="shared" si="660"/>
        <v>81.407724898599895</v>
      </c>
      <c r="AT69" s="189">
        <v>0.1326</v>
      </c>
      <c r="AU69" s="59">
        <f t="shared" si="661"/>
        <v>96.281053544173801</v>
      </c>
      <c r="AV69" s="59">
        <v>1</v>
      </c>
      <c r="AW69" s="59">
        <f t="shared" si="626"/>
        <v>1000</v>
      </c>
      <c r="AX69" s="59"/>
      <c r="AY69" s="62">
        <v>80.239999999999995</v>
      </c>
      <c r="AZ69" s="62" t="s">
        <v>442</v>
      </c>
      <c r="BA69" s="59">
        <v>500</v>
      </c>
      <c r="BB69" s="59" t="s">
        <v>443</v>
      </c>
      <c r="BC69" s="59"/>
      <c r="BD69" s="62">
        <v>33.056329363024297</v>
      </c>
      <c r="BE69" s="59">
        <f t="shared" si="662"/>
        <v>414.29975510689002</v>
      </c>
      <c r="BF69" s="62" t="e">
        <f>VLOOKUP(B69,'2022年项目库建设情况'!B:O,14,0)</f>
        <v>#N/A</v>
      </c>
      <c r="BG69" s="59" t="e">
        <f t="shared" si="663"/>
        <v>#N/A</v>
      </c>
      <c r="BH69" s="53" t="e">
        <f>ROUND(AI69+AD69+#REF!+#REF!+BE69+BG69,0)</f>
        <v>#REF!</v>
      </c>
      <c r="BI69" s="59" t="e">
        <f t="shared" si="664"/>
        <v>#REF!</v>
      </c>
      <c r="BJ69" s="167" t="e">
        <f t="shared" si="665"/>
        <v>#REF!</v>
      </c>
      <c r="BK69" s="170">
        <f t="shared" si="666"/>
        <v>2778.5431237796702</v>
      </c>
      <c r="BL69" s="59">
        <v>1908</v>
      </c>
      <c r="BM69" s="59">
        <f t="shared" si="667"/>
        <v>1732.58143388381</v>
      </c>
      <c r="BN69" s="59">
        <f t="shared" si="668"/>
        <v>1045.96168989586</v>
      </c>
      <c r="BO69" s="43">
        <f t="shared" si="492"/>
        <v>0.60370131495129997</v>
      </c>
    </row>
    <row r="70" ht="17" customHeight="1">
      <c r="A70" s="46">
        <v>41</v>
      </c>
      <c r="B70" s="82" t="s">
        <v>118</v>
      </c>
      <c r="C70" s="46" t="s">
        <v>78</v>
      </c>
      <c r="D70" s="46"/>
      <c r="E70" s="46"/>
      <c r="F70" s="46"/>
      <c r="G70" s="73" t="e">
        <f>VLOOKUP(B:B,#REF!,2,0)</f>
        <v>#REF!</v>
      </c>
      <c r="H70" s="73" t="e">
        <f t="shared" si="649"/>
        <v>#REF!</v>
      </c>
      <c r="I70" s="59" t="e">
        <f>VLOOKUP(B70,#REF!,4,0)</f>
        <v>#REF!</v>
      </c>
      <c r="J70" s="59" t="e">
        <f>VLOOKUP(B70,#REF!,2,0)</f>
        <v>#REF!</v>
      </c>
      <c r="K70" s="73" t="e">
        <f t="shared" si="650"/>
        <v>#REF!</v>
      </c>
      <c r="L70" s="73" t="e">
        <f t="shared" si="651"/>
        <v>#REF!</v>
      </c>
      <c r="M70" s="59">
        <v>1639</v>
      </c>
      <c r="N70" s="59">
        <v>202</v>
      </c>
      <c r="O70" s="73">
        <v>10779</v>
      </c>
      <c r="P70" s="59">
        <f t="shared" si="638"/>
        <v>2155.8000000000002</v>
      </c>
      <c r="Q70" s="59">
        <f t="shared" si="639"/>
        <v>2155.8000000000002</v>
      </c>
      <c r="R70" s="59">
        <f t="shared" si="640"/>
        <v>0</v>
      </c>
      <c r="S70" s="59">
        <f t="shared" si="641"/>
        <v>0</v>
      </c>
      <c r="T70" s="59">
        <f t="shared" si="642"/>
        <v>0</v>
      </c>
      <c r="U70" s="59">
        <f t="shared" si="643"/>
        <v>0</v>
      </c>
      <c r="V70" s="59">
        <v>1745</v>
      </c>
      <c r="W70" s="59">
        <f t="shared" si="652"/>
        <v>349</v>
      </c>
      <c r="X70" s="59">
        <v>308</v>
      </c>
      <c r="Y70" s="59">
        <f t="shared" si="653"/>
        <v>0</v>
      </c>
      <c r="Z70" s="59"/>
      <c r="AA70" s="59"/>
      <c r="AB70" s="59"/>
      <c r="AC70" s="59">
        <v>443</v>
      </c>
      <c r="AD70" s="59">
        <f t="shared" si="654"/>
        <v>525.62372145582697</v>
      </c>
      <c r="AE70" s="59">
        <v>13821.809999999999</v>
      </c>
      <c r="AF70" s="62">
        <f t="shared" si="655"/>
        <v>0.29638923224388503</v>
      </c>
      <c r="AG70" s="62">
        <f t="shared" si="656"/>
        <v>0.37119787446224201</v>
      </c>
      <c r="AH70" s="62">
        <f t="shared" si="657"/>
        <v>7.4239574892448396e-002</v>
      </c>
      <c r="AI70" s="59">
        <f t="shared" si="658"/>
        <v>22.1291087509688</v>
      </c>
      <c r="AJ70" s="59"/>
      <c r="AK70" s="59"/>
      <c r="AL70" s="59">
        <v>893</v>
      </c>
      <c r="AM70" s="59">
        <v>5</v>
      </c>
      <c r="AN70" s="62">
        <v>0.124774774774775</v>
      </c>
      <c r="AO70" s="59">
        <f t="shared" si="659"/>
        <v>100.581717512466</v>
      </c>
      <c r="AP70" s="59"/>
      <c r="AQ70" s="59"/>
      <c r="AR70" s="59">
        <v>4758</v>
      </c>
      <c r="AS70" s="59">
        <f t="shared" si="660"/>
        <v>65.175493028359099</v>
      </c>
      <c r="AT70" s="189">
        <v>0.104</v>
      </c>
      <c r="AU70" s="59">
        <f t="shared" si="661"/>
        <v>75.514551799352006</v>
      </c>
      <c r="AV70" s="59">
        <v>1</v>
      </c>
      <c r="AW70" s="59">
        <f t="shared" si="626"/>
        <v>1000</v>
      </c>
      <c r="AX70" s="59"/>
      <c r="AY70" s="62">
        <v>87.420000000000002</v>
      </c>
      <c r="AZ70" s="62" t="s">
        <v>442</v>
      </c>
      <c r="BA70" s="59">
        <v>500</v>
      </c>
      <c r="BB70" s="59" t="s">
        <v>443</v>
      </c>
      <c r="BC70" s="59"/>
      <c r="BD70" s="62">
        <v>32.922500459094401</v>
      </c>
      <c r="BE70" s="59">
        <f t="shared" si="662"/>
        <v>412.62245810529299</v>
      </c>
      <c r="BF70" s="62" t="e">
        <f>VLOOKUP(B70,'2022年项目库建设情况'!B:O,14,0)</f>
        <v>#N/A</v>
      </c>
      <c r="BG70" s="59" t="e">
        <f t="shared" si="663"/>
        <v>#N/A</v>
      </c>
      <c r="BH70" s="53" t="e">
        <f>ROUND(AI70+AD70+#REF!+#REF!+BE70+BG70,0)</f>
        <v>#REF!</v>
      </c>
      <c r="BI70" s="59" t="e">
        <f t="shared" si="664"/>
        <v>#REF!</v>
      </c>
      <c r="BJ70" s="167" t="e">
        <f t="shared" si="665"/>
        <v>#REF!</v>
      </c>
      <c r="BK70" s="170">
        <f t="shared" si="666"/>
        <v>2701.6470506522701</v>
      </c>
      <c r="BL70" s="59">
        <v>1639</v>
      </c>
      <c r="BM70" s="59">
        <f t="shared" si="667"/>
        <v>1488.3128774295401</v>
      </c>
      <c r="BN70" s="59">
        <f t="shared" si="668"/>
        <v>1213.33417322273</v>
      </c>
      <c r="BO70" s="43">
        <f t="shared" si="492"/>
        <v>0.81524133239932495</v>
      </c>
    </row>
    <row r="71" ht="17" customHeight="1">
      <c r="A71" s="46">
        <v>42</v>
      </c>
      <c r="B71" s="82" t="s">
        <v>119</v>
      </c>
      <c r="C71" s="46" t="s">
        <v>78</v>
      </c>
      <c r="D71" s="46"/>
      <c r="E71" s="46"/>
      <c r="F71" s="46"/>
      <c r="G71" s="73" t="e">
        <f>VLOOKUP(B:B,#REF!,2,0)</f>
        <v>#REF!</v>
      </c>
      <c r="H71" s="73" t="e">
        <f t="shared" si="649"/>
        <v>#REF!</v>
      </c>
      <c r="I71" s="59" t="e">
        <f>VLOOKUP(B71,#REF!,4,0)</f>
        <v>#REF!</v>
      </c>
      <c r="J71" s="59" t="e">
        <f>VLOOKUP(B71,#REF!,2,0)</f>
        <v>#REF!</v>
      </c>
      <c r="K71" s="73" t="e">
        <f t="shared" si="650"/>
        <v>#REF!</v>
      </c>
      <c r="L71" s="73" t="e">
        <f t="shared" si="651"/>
        <v>#REF!</v>
      </c>
      <c r="M71" s="59">
        <v>1909</v>
      </c>
      <c r="N71" s="59">
        <v>194</v>
      </c>
      <c r="O71" s="73">
        <v>10233</v>
      </c>
      <c r="P71" s="59">
        <f t="shared" si="638"/>
        <v>2046.5999999999999</v>
      </c>
      <c r="Q71" s="59">
        <f t="shared" si="639"/>
        <v>2046.5999999999999</v>
      </c>
      <c r="R71" s="59">
        <f t="shared" si="640"/>
        <v>0</v>
      </c>
      <c r="S71" s="59">
        <f t="shared" si="641"/>
        <v>0</v>
      </c>
      <c r="T71" s="59">
        <f t="shared" si="642"/>
        <v>0</v>
      </c>
      <c r="U71" s="59">
        <f t="shared" si="643"/>
        <v>0</v>
      </c>
      <c r="V71" s="59">
        <v>1932</v>
      </c>
      <c r="W71" s="59">
        <f t="shared" si="652"/>
        <v>386.39999999999998</v>
      </c>
      <c r="X71" s="59">
        <v>1042</v>
      </c>
      <c r="Y71" s="59">
        <f t="shared" si="653"/>
        <v>0</v>
      </c>
      <c r="Z71" s="59"/>
      <c r="AA71" s="59"/>
      <c r="AB71" s="59"/>
      <c r="AC71" s="59">
        <v>287</v>
      </c>
      <c r="AD71" s="59">
        <f t="shared" si="654"/>
        <v>552.50240026109896</v>
      </c>
      <c r="AE71" s="59">
        <v>12832.049999999999</v>
      </c>
      <c r="AF71" s="62">
        <f t="shared" si="655"/>
        <v>0.45610470839209799</v>
      </c>
      <c r="AG71" s="62">
        <f t="shared" si="656"/>
        <v>0.55485137775898796</v>
      </c>
      <c r="AH71" s="62">
        <f t="shared" si="657"/>
        <v>0.110970275551798</v>
      </c>
      <c r="AI71" s="59">
        <f t="shared" si="658"/>
        <v>33.077685309597499</v>
      </c>
      <c r="AJ71" s="59"/>
      <c r="AK71" s="59"/>
      <c r="AL71" s="59">
        <v>1668.7</v>
      </c>
      <c r="AM71" s="59">
        <v>25</v>
      </c>
      <c r="AN71" s="62">
        <v>0.91807044410413496</v>
      </c>
      <c r="AO71" s="59">
        <f t="shared" si="659"/>
        <v>187.951525210585</v>
      </c>
      <c r="AP71" s="59"/>
      <c r="AQ71" s="59"/>
      <c r="AR71" s="59">
        <v>5559</v>
      </c>
      <c r="AS71" s="59">
        <f t="shared" si="660"/>
        <v>76.147659887483897</v>
      </c>
      <c r="AT71" s="189">
        <v>0.1048</v>
      </c>
      <c r="AU71" s="59">
        <f t="shared" si="661"/>
        <v>76.0954329670394</v>
      </c>
      <c r="AV71" s="59">
        <v>1</v>
      </c>
      <c r="AW71" s="59">
        <f t="shared" si="626"/>
        <v>1000</v>
      </c>
      <c r="AX71" s="59"/>
      <c r="AY71" s="62">
        <v>81.870000000000005</v>
      </c>
      <c r="AZ71" s="62" t="s">
        <v>442</v>
      </c>
      <c r="BA71" s="59">
        <v>500</v>
      </c>
      <c r="BB71" s="59" t="s">
        <v>443</v>
      </c>
      <c r="BC71" s="59"/>
      <c r="BD71" s="62">
        <v>34.219780743427101</v>
      </c>
      <c r="BE71" s="59">
        <f t="shared" si="662"/>
        <v>428.88145946632199</v>
      </c>
      <c r="BF71" s="62" t="e">
        <f>VLOOKUP(B71,'2022年项目库建设情况'!B:O,14,0)</f>
        <v>#N/A</v>
      </c>
      <c r="BG71" s="59" t="e">
        <f t="shared" si="663"/>
        <v>#N/A</v>
      </c>
      <c r="BH71" s="53" t="e">
        <f>ROUND(AI71+AD71+#REF!+#REF!+BE71+BG71,0)</f>
        <v>#REF!</v>
      </c>
      <c r="BI71" s="59" t="e">
        <f t="shared" si="664"/>
        <v>#REF!</v>
      </c>
      <c r="BJ71" s="167" t="e">
        <f t="shared" si="665"/>
        <v>#REF!</v>
      </c>
      <c r="BK71" s="170">
        <f t="shared" si="666"/>
        <v>2854.65616310213</v>
      </c>
      <c r="BL71" s="59">
        <v>1909</v>
      </c>
      <c r="BM71" s="59">
        <f t="shared" si="667"/>
        <v>1733.48949543196</v>
      </c>
      <c r="BN71" s="59">
        <f t="shared" si="668"/>
        <v>1121.16666767016</v>
      </c>
      <c r="BO71" s="43">
        <f t="shared" si="492"/>
        <v>0.64676865399220895</v>
      </c>
    </row>
    <row r="72" ht="17" customHeight="1">
      <c r="A72" s="46">
        <v>43</v>
      </c>
      <c r="B72" s="82" t="s">
        <v>120</v>
      </c>
      <c r="C72" s="46" t="s">
        <v>78</v>
      </c>
      <c r="D72" s="46"/>
      <c r="E72" s="46"/>
      <c r="F72" s="46"/>
      <c r="G72" s="73" t="e">
        <f>VLOOKUP(B:B,#REF!,2,0)</f>
        <v>#REF!</v>
      </c>
      <c r="H72" s="73" t="e">
        <f t="shared" si="649"/>
        <v>#REF!</v>
      </c>
      <c r="I72" s="59" t="e">
        <f>VLOOKUP(B72,#REF!,4,0)</f>
        <v>#REF!</v>
      </c>
      <c r="J72" s="59" t="e">
        <f>VLOOKUP(B72,#REF!,2,0)</f>
        <v>#REF!</v>
      </c>
      <c r="K72" s="73" t="e">
        <f t="shared" si="650"/>
        <v>#REF!</v>
      </c>
      <c r="L72" s="73" t="e">
        <f t="shared" si="651"/>
        <v>#REF!</v>
      </c>
      <c r="M72" s="59">
        <v>2381</v>
      </c>
      <c r="N72" s="59">
        <v>254</v>
      </c>
      <c r="O72" s="73">
        <v>22425</v>
      </c>
      <c r="P72" s="59">
        <f t="shared" si="638"/>
        <v>4485</v>
      </c>
      <c r="Q72" s="59">
        <f t="shared" si="639"/>
        <v>4485</v>
      </c>
      <c r="R72" s="59">
        <f t="shared" si="640"/>
        <v>0</v>
      </c>
      <c r="S72" s="59">
        <f t="shared" si="641"/>
        <v>0</v>
      </c>
      <c r="T72" s="59">
        <f t="shared" si="642"/>
        <v>0</v>
      </c>
      <c r="U72" s="59">
        <f t="shared" si="643"/>
        <v>0</v>
      </c>
      <c r="V72" s="59">
        <v>3220</v>
      </c>
      <c r="W72" s="59">
        <f t="shared" si="652"/>
        <v>644</v>
      </c>
      <c r="X72" s="59">
        <v>1834</v>
      </c>
      <c r="Y72" s="59">
        <f t="shared" si="653"/>
        <v>0</v>
      </c>
      <c r="Z72" s="59"/>
      <c r="AA72" s="59"/>
      <c r="AB72" s="59"/>
      <c r="AC72" s="59">
        <v>424</v>
      </c>
      <c r="AD72" s="59">
        <f t="shared" si="654"/>
        <v>1081.05248311629</v>
      </c>
      <c r="AE72" s="59">
        <v>12554.5</v>
      </c>
      <c r="AF72" s="62">
        <f t="shared" si="655"/>
        <v>0.50089236439449902</v>
      </c>
      <c r="AG72" s="62">
        <f t="shared" si="656"/>
        <v>1.2845384684896901</v>
      </c>
      <c r="AH72" s="62">
        <f t="shared" si="657"/>
        <v>0.25690769369793898</v>
      </c>
      <c r="AI72" s="59">
        <f t="shared" si="658"/>
        <v>76.578271104574398</v>
      </c>
      <c r="AJ72" s="59"/>
      <c r="AK72" s="59"/>
      <c r="AL72" s="59">
        <v>260.88</v>
      </c>
      <c r="AM72" s="59">
        <v>3</v>
      </c>
      <c r="AN72" s="62">
        <v>0.45016797312430001</v>
      </c>
      <c r="AO72" s="59">
        <f t="shared" si="659"/>
        <v>29.383828067919499</v>
      </c>
      <c r="AP72" s="59"/>
      <c r="AQ72" s="59"/>
      <c r="AR72" s="59">
        <v>11609</v>
      </c>
      <c r="AS72" s="59">
        <f t="shared" si="660"/>
        <v>159.02107998449401</v>
      </c>
      <c r="AT72" s="189">
        <v>0.24260000000000001</v>
      </c>
      <c r="AU72" s="59">
        <f t="shared" si="661"/>
        <v>176.15221410118099</v>
      </c>
      <c r="AV72" s="59">
        <v>1</v>
      </c>
      <c r="AW72" s="59">
        <f t="shared" si="626"/>
        <v>1000</v>
      </c>
      <c r="AX72" s="59"/>
      <c r="AY72" s="62">
        <v>79.079999999999998</v>
      </c>
      <c r="AZ72" s="62" t="s">
        <v>440</v>
      </c>
      <c r="BA72" s="59"/>
      <c r="BB72" s="59" t="s">
        <v>443</v>
      </c>
      <c r="BC72" s="59"/>
      <c r="BD72" s="62">
        <v>12.800533517061501</v>
      </c>
      <c r="BE72" s="59">
        <f t="shared" si="662"/>
        <v>160.430937237943</v>
      </c>
      <c r="BF72" s="62" t="e">
        <f>VLOOKUP(B72,'2022年项目库建设情况'!B:O,14,0)</f>
        <v>#N/A</v>
      </c>
      <c r="BG72" s="59" t="e">
        <f t="shared" si="663"/>
        <v>#N/A</v>
      </c>
      <c r="BH72" s="53" t="e">
        <f>ROUND(AI72+AD72+#REF!+#REF!+BE72+BG72,0)</f>
        <v>#REF!</v>
      </c>
      <c r="BI72" s="59" t="e">
        <f t="shared" si="664"/>
        <v>#REF!</v>
      </c>
      <c r="BJ72" s="167" t="e">
        <f t="shared" si="665"/>
        <v>#REF!</v>
      </c>
      <c r="BK72" s="170">
        <f t="shared" si="666"/>
        <v>2682.6188136124001</v>
      </c>
      <c r="BL72" s="59">
        <v>2381</v>
      </c>
      <c r="BM72" s="59">
        <f t="shared" si="667"/>
        <v>2162.09454616213</v>
      </c>
      <c r="BN72" s="59">
        <f t="shared" si="668"/>
        <v>520.52426745026798</v>
      </c>
      <c r="BO72" s="43">
        <f t="shared" si="492"/>
        <v>0.24075000252613199</v>
      </c>
    </row>
    <row r="73" s="64" customFormat="1" ht="17" customHeight="1">
      <c r="A73" s="65"/>
      <c r="B73" s="66" t="s">
        <v>121</v>
      </c>
      <c r="C73" s="67">
        <v>1</v>
      </c>
      <c r="D73" s="67"/>
      <c r="E73" s="67"/>
      <c r="F73" s="68"/>
      <c r="G73" s="69" t="e">
        <f t="shared" ref="G73:M73" si="669">G74+G75</f>
        <v>#REF!</v>
      </c>
      <c r="H73" s="69" t="e">
        <f t="shared" si="669"/>
        <v>#REF!</v>
      </c>
      <c r="I73" s="69" t="e">
        <f t="shared" si="669"/>
        <v>#REF!</v>
      </c>
      <c r="J73" s="69" t="e">
        <f t="shared" si="669"/>
        <v>#REF!</v>
      </c>
      <c r="K73" s="69" t="e">
        <f t="shared" si="669"/>
        <v>#REF!</v>
      </c>
      <c r="L73" s="69" t="e">
        <f t="shared" si="669"/>
        <v>#REF!</v>
      </c>
      <c r="M73" s="69">
        <f t="shared" si="669"/>
        <v>140273</v>
      </c>
      <c r="N73" s="69">
        <v>25969</v>
      </c>
      <c r="O73" s="69">
        <f t="shared" ref="O73:AD73" si="670">O74+O75</f>
        <v>819007</v>
      </c>
      <c r="P73" s="69">
        <f t="shared" si="670"/>
        <v>527926.19999999995</v>
      </c>
      <c r="Q73" s="69">
        <f t="shared" si="670"/>
        <v>39463.199999999997</v>
      </c>
      <c r="R73" s="69">
        <f t="shared" si="670"/>
        <v>13266.4</v>
      </c>
      <c r="S73" s="69">
        <f t="shared" si="670"/>
        <v>29035.200000000001</v>
      </c>
      <c r="T73" s="69">
        <f t="shared" si="670"/>
        <v>375886.40000000002</v>
      </c>
      <c r="U73" s="69">
        <f t="shared" si="670"/>
        <v>70275</v>
      </c>
      <c r="V73" s="69">
        <f t="shared" si="670"/>
        <v>77031</v>
      </c>
      <c r="W73" s="69">
        <f t="shared" si="670"/>
        <v>59303.400000000001</v>
      </c>
      <c r="X73" s="69">
        <f t="shared" si="670"/>
        <v>75806</v>
      </c>
      <c r="Y73" s="69">
        <f t="shared" si="670"/>
        <v>0</v>
      </c>
      <c r="Z73" s="69">
        <f t="shared" si="670"/>
        <v>0</v>
      </c>
      <c r="AA73" s="69">
        <f t="shared" si="670"/>
        <v>0</v>
      </c>
      <c r="AB73" s="69">
        <f t="shared" si="670"/>
        <v>0</v>
      </c>
      <c r="AC73" s="69">
        <f t="shared" si="670"/>
        <v>11924</v>
      </c>
      <c r="AD73" s="69">
        <f t="shared" si="670"/>
        <v>45906.979551497803</v>
      </c>
      <c r="AE73" s="69"/>
      <c r="AF73" s="69">
        <f t="shared" ref="AF73:AL73" si="671">AF74+AF75</f>
        <v>9.0653184917912206</v>
      </c>
      <c r="AG73" s="69">
        <f t="shared" si="671"/>
        <v>63.921692040851902</v>
      </c>
      <c r="AH73" s="69">
        <f t="shared" si="671"/>
        <v>49.253447888065601</v>
      </c>
      <c r="AI73" s="69">
        <f t="shared" si="671"/>
        <v>14681.319313239301</v>
      </c>
      <c r="AJ73" s="69">
        <f t="shared" si="671"/>
        <v>446161.40000000002</v>
      </c>
      <c r="AK73" s="69">
        <f t="shared" si="671"/>
        <v>317.4194789124</v>
      </c>
      <c r="AL73" s="69">
        <f t="shared" si="671"/>
        <v>69842.210000000006</v>
      </c>
      <c r="AM73" s="69">
        <v>415</v>
      </c>
      <c r="AN73" s="71">
        <v>12.740524025349</v>
      </c>
      <c r="AO73" s="69">
        <f t="shared" ref="AO73:BA73" si="672">AO74+AO75</f>
        <v>7866.5727174314998</v>
      </c>
      <c r="AP73" s="69">
        <f t="shared" si="672"/>
        <v>3000</v>
      </c>
      <c r="AQ73" s="69"/>
      <c r="AR73" s="69">
        <f t="shared" si="672"/>
        <v>398021</v>
      </c>
      <c r="AS73" s="69">
        <f t="shared" si="672"/>
        <v>5452.1258744515599</v>
      </c>
      <c r="AT73" s="69">
        <f t="shared" si="672"/>
        <v>9.1074000000000002</v>
      </c>
      <c r="AU73" s="69">
        <f t="shared" si="672"/>
        <v>6612.8964332444102</v>
      </c>
      <c r="AV73" s="69">
        <f t="shared" si="672"/>
        <v>10</v>
      </c>
      <c r="AW73" s="69">
        <f t="shared" si="672"/>
        <v>10000</v>
      </c>
      <c r="AX73" s="69">
        <f t="shared" si="672"/>
        <v>21783</v>
      </c>
      <c r="AY73" s="69">
        <f t="shared" si="672"/>
        <v>1080.73</v>
      </c>
      <c r="AZ73" s="69">
        <f t="shared" si="672"/>
        <v>0</v>
      </c>
      <c r="BA73" s="69">
        <f t="shared" si="672"/>
        <v>5600</v>
      </c>
      <c r="BB73" s="69"/>
      <c r="BC73" s="69">
        <f t="shared" ref="BC73:BK73" si="673">BC74+BC75</f>
        <v>5200</v>
      </c>
      <c r="BD73" s="71">
        <f t="shared" si="673"/>
        <v>291.44808825816898</v>
      </c>
      <c r="BE73" s="69">
        <f t="shared" si="673"/>
        <v>3652.7610269636898</v>
      </c>
      <c r="BF73" s="71" t="e">
        <f t="shared" si="673"/>
        <v>#N/A</v>
      </c>
      <c r="BG73" s="69" t="e">
        <f t="shared" si="673"/>
        <v>#N/A</v>
      </c>
      <c r="BH73" s="70" t="e">
        <f t="shared" si="673"/>
        <v>#REF!</v>
      </c>
      <c r="BI73" s="70" t="e">
        <f t="shared" si="673"/>
        <v>#REF!</v>
      </c>
      <c r="BJ73" s="183" t="e">
        <f t="shared" si="673"/>
        <v>#REF!</v>
      </c>
      <c r="BK73" s="184">
        <f t="shared" si="673"/>
        <v>130055.654916828</v>
      </c>
      <c r="BL73" s="69">
        <v>140273</v>
      </c>
      <c r="BM73" s="184">
        <f>BM74+BM75</f>
        <v>127376.517544645</v>
      </c>
      <c r="BN73" s="184">
        <f>BN74+BN75</f>
        <v>2679.1373721830701</v>
      </c>
      <c r="BO73" s="43">
        <f t="shared" si="492"/>
        <v>2.1033212587587401e-002</v>
      </c>
      <c r="BP73" s="185"/>
    </row>
    <row r="74" s="5" customFormat="1" ht="17" customHeight="1">
      <c r="A74" s="44"/>
      <c r="B74" s="72" t="s">
        <v>122</v>
      </c>
      <c r="C74" s="46">
        <v>2</v>
      </c>
      <c r="D74" s="46"/>
      <c r="E74" s="46"/>
      <c r="F74" s="46"/>
      <c r="G74" s="73"/>
      <c r="H74" s="73"/>
      <c r="I74" s="73"/>
      <c r="J74" s="73"/>
      <c r="K74" s="73"/>
      <c r="L74" s="73"/>
      <c r="M74" s="73"/>
      <c r="N74" s="73"/>
      <c r="O74" s="73"/>
      <c r="P74" s="59">
        <f t="shared" ref="P74:P88" si="674">SUM(Q74:U74)</f>
        <v>0</v>
      </c>
      <c r="Q74" s="59">
        <f t="shared" ref="Q74:Q88" si="675">IF(D74="",O74*0.2,0)</f>
        <v>0</v>
      </c>
      <c r="R74" s="59">
        <f t="shared" ref="R74:R88" si="676">IF(D74=2017,O74*0.4,0)</f>
        <v>0</v>
      </c>
      <c r="S74" s="59">
        <f t="shared" ref="S74:S88" si="677">IF(D74=2018,O74*0.6,0)</f>
        <v>0</v>
      </c>
      <c r="T74" s="59">
        <f t="shared" ref="T74:T88" si="678">IF(D74=2019,O74*0.8,0)</f>
        <v>0</v>
      </c>
      <c r="U74" s="59">
        <f t="shared" ref="U74:U88" si="679">IF(D74=2020,O74*1,0)</f>
        <v>0</v>
      </c>
      <c r="V74" s="59"/>
      <c r="W74" s="59"/>
      <c r="X74" s="59"/>
      <c r="Y74" s="59">
        <f>T74*0.4+U74*0.6+V74*0.8+X74*1</f>
        <v>0</v>
      </c>
      <c r="Z74" s="59"/>
      <c r="AA74" s="59"/>
      <c r="AB74" s="59"/>
      <c r="AC74" s="59"/>
      <c r="AD74" s="59"/>
      <c r="AE74" s="59"/>
      <c r="AF74" s="62"/>
      <c r="AG74" s="62"/>
      <c r="AH74" s="62"/>
      <c r="AI74" s="59"/>
      <c r="AJ74" s="59"/>
      <c r="AK74" s="59"/>
      <c r="AL74" s="59"/>
      <c r="AM74" s="59"/>
      <c r="AN74" s="62"/>
      <c r="AO74" s="59"/>
      <c r="AP74" s="59"/>
      <c r="AQ74" s="59"/>
      <c r="AR74" s="59"/>
      <c r="AS74" s="59"/>
      <c r="AT74" s="59"/>
      <c r="AU74" s="59"/>
      <c r="AV74" s="59"/>
      <c r="AW74" s="59"/>
      <c r="AX74" s="59"/>
      <c r="AY74" s="62"/>
      <c r="AZ74" s="62"/>
      <c r="BA74" s="59"/>
      <c r="BB74" s="59"/>
      <c r="BC74" s="59"/>
      <c r="BD74" s="62"/>
      <c r="BE74" s="59"/>
      <c r="BF74" s="62"/>
      <c r="BG74" s="59"/>
      <c r="BH74" s="53"/>
      <c r="BI74" s="59"/>
      <c r="BJ74" s="182"/>
      <c r="BK74" s="170"/>
      <c r="BL74" s="73"/>
      <c r="BM74" s="170"/>
      <c r="BN74" s="50"/>
      <c r="BO74" s="43"/>
      <c r="BP74" s="4"/>
    </row>
    <row r="75" s="74" customFormat="1" ht="17" customHeight="1">
      <c r="A75" s="75"/>
      <c r="B75" s="76" t="s">
        <v>76</v>
      </c>
      <c r="C75" s="77">
        <v>3</v>
      </c>
      <c r="D75" s="77"/>
      <c r="E75" s="77"/>
      <c r="F75" s="78"/>
      <c r="G75" s="79" t="e">
        <f t="shared" ref="G75:M75" si="680">SUM(G76:G88)</f>
        <v>#REF!</v>
      </c>
      <c r="H75" s="79" t="e">
        <f t="shared" si="680"/>
        <v>#REF!</v>
      </c>
      <c r="I75" s="79" t="e">
        <f t="shared" si="680"/>
        <v>#REF!</v>
      </c>
      <c r="J75" s="79" t="e">
        <f t="shared" si="680"/>
        <v>#REF!</v>
      </c>
      <c r="K75" s="79" t="e">
        <f t="shared" si="680"/>
        <v>#REF!</v>
      </c>
      <c r="L75" s="79" t="e">
        <f t="shared" si="680"/>
        <v>#REF!</v>
      </c>
      <c r="M75" s="79">
        <f t="shared" si="680"/>
        <v>140273</v>
      </c>
      <c r="N75" s="79">
        <v>25969</v>
      </c>
      <c r="O75" s="79">
        <f t="shared" ref="O75:AD75" si="681">SUM(O76:O88)</f>
        <v>819007</v>
      </c>
      <c r="P75" s="79">
        <f t="shared" si="681"/>
        <v>527926.19999999995</v>
      </c>
      <c r="Q75" s="79">
        <f t="shared" si="681"/>
        <v>39463.199999999997</v>
      </c>
      <c r="R75" s="79">
        <f t="shared" si="681"/>
        <v>13266.4</v>
      </c>
      <c r="S75" s="79">
        <f t="shared" si="681"/>
        <v>29035.200000000001</v>
      </c>
      <c r="T75" s="79">
        <f t="shared" si="681"/>
        <v>375886.40000000002</v>
      </c>
      <c r="U75" s="79">
        <f t="shared" si="681"/>
        <v>70275</v>
      </c>
      <c r="V75" s="79">
        <f t="shared" si="681"/>
        <v>77031</v>
      </c>
      <c r="W75" s="79">
        <f t="shared" si="681"/>
        <v>59303.400000000001</v>
      </c>
      <c r="X75" s="79">
        <f t="shared" si="681"/>
        <v>75806</v>
      </c>
      <c r="Y75" s="79">
        <f t="shared" si="681"/>
        <v>0</v>
      </c>
      <c r="Z75" s="79">
        <f t="shared" si="681"/>
        <v>0</v>
      </c>
      <c r="AA75" s="79">
        <f t="shared" si="681"/>
        <v>0</v>
      </c>
      <c r="AB75" s="79">
        <f t="shared" si="681"/>
        <v>0</v>
      </c>
      <c r="AC75" s="79">
        <f t="shared" si="681"/>
        <v>11924</v>
      </c>
      <c r="AD75" s="79">
        <f t="shared" si="681"/>
        <v>45906.979551497803</v>
      </c>
      <c r="AE75" s="79"/>
      <c r="AF75" s="79">
        <f t="shared" ref="AF75:AL75" si="682">SUM(AF76:AF88)</f>
        <v>9.0653184917912206</v>
      </c>
      <c r="AG75" s="79">
        <f t="shared" si="682"/>
        <v>63.921692040851902</v>
      </c>
      <c r="AH75" s="79">
        <f t="shared" si="682"/>
        <v>49.253447888065601</v>
      </c>
      <c r="AI75" s="79">
        <f t="shared" si="682"/>
        <v>14681.319313239301</v>
      </c>
      <c r="AJ75" s="79">
        <f t="shared" si="682"/>
        <v>446161.40000000002</v>
      </c>
      <c r="AK75" s="79">
        <f t="shared" si="682"/>
        <v>317.4194789124</v>
      </c>
      <c r="AL75" s="79">
        <f t="shared" si="682"/>
        <v>69842.210000000006</v>
      </c>
      <c r="AM75" s="79">
        <v>415</v>
      </c>
      <c r="AN75" s="81">
        <v>12.740524025349</v>
      </c>
      <c r="AO75" s="79">
        <f t="shared" ref="AO75:BA75" si="683">SUM(AO76:AO88)</f>
        <v>7866.5727174314998</v>
      </c>
      <c r="AP75" s="79">
        <f t="shared" si="683"/>
        <v>3000</v>
      </c>
      <c r="AQ75" s="79"/>
      <c r="AR75" s="79">
        <f t="shared" si="683"/>
        <v>398021</v>
      </c>
      <c r="AS75" s="79">
        <f t="shared" si="683"/>
        <v>5452.1258744515599</v>
      </c>
      <c r="AT75" s="79">
        <f t="shared" si="683"/>
        <v>9.1074000000000002</v>
      </c>
      <c r="AU75" s="79">
        <f t="shared" si="683"/>
        <v>6612.8964332444102</v>
      </c>
      <c r="AV75" s="79">
        <f t="shared" si="683"/>
        <v>10</v>
      </c>
      <c r="AW75" s="79">
        <f t="shared" si="683"/>
        <v>10000</v>
      </c>
      <c r="AX75" s="79">
        <f t="shared" si="683"/>
        <v>21783</v>
      </c>
      <c r="AY75" s="79">
        <f t="shared" si="683"/>
        <v>1080.73</v>
      </c>
      <c r="AZ75" s="79">
        <f t="shared" si="683"/>
        <v>0</v>
      </c>
      <c r="BA75" s="79">
        <f t="shared" si="683"/>
        <v>5600</v>
      </c>
      <c r="BB75" s="79"/>
      <c r="BC75" s="79">
        <f t="shared" ref="BC75:BK75" si="684">SUM(BC76:BC88)</f>
        <v>5200</v>
      </c>
      <c r="BD75" s="81">
        <f t="shared" si="684"/>
        <v>291.44808825816898</v>
      </c>
      <c r="BE75" s="79">
        <f t="shared" si="684"/>
        <v>3652.7610269636898</v>
      </c>
      <c r="BF75" s="81" t="e">
        <f t="shared" si="684"/>
        <v>#N/A</v>
      </c>
      <c r="BG75" s="79" t="e">
        <f t="shared" si="684"/>
        <v>#N/A</v>
      </c>
      <c r="BH75" s="80" t="e">
        <f t="shared" si="684"/>
        <v>#REF!</v>
      </c>
      <c r="BI75" s="80" t="e">
        <f t="shared" si="684"/>
        <v>#REF!</v>
      </c>
      <c r="BJ75" s="186" t="e">
        <f t="shared" si="684"/>
        <v>#REF!</v>
      </c>
      <c r="BK75" s="187">
        <f t="shared" si="684"/>
        <v>130055.654916828</v>
      </c>
      <c r="BL75" s="79">
        <v>140273</v>
      </c>
      <c r="BM75" s="187">
        <f>SUM(BM76:BM88)</f>
        <v>127376.517544645</v>
      </c>
      <c r="BN75" s="187">
        <f>SUM(BN76:BN88)</f>
        <v>2679.1373721830701</v>
      </c>
      <c r="BO75" s="43">
        <f t="shared" si="492"/>
        <v>2.1033212587587401e-002</v>
      </c>
      <c r="BP75" s="188"/>
    </row>
    <row r="76" ht="17" customHeight="1">
      <c r="A76" s="46">
        <v>44</v>
      </c>
      <c r="B76" s="82" t="s">
        <v>123</v>
      </c>
      <c r="C76" s="46" t="s">
        <v>78</v>
      </c>
      <c r="D76" s="46"/>
      <c r="E76" s="46"/>
      <c r="F76" s="46"/>
      <c r="G76" s="73" t="e">
        <f>VLOOKUP(B:B,#REF!,2,0)</f>
        <v>#REF!</v>
      </c>
      <c r="H76" s="73" t="e">
        <f t="shared" ref="H76:H88" si="685">G76*299423/381298.76</f>
        <v>#REF!</v>
      </c>
      <c r="I76" s="59" t="e">
        <f>VLOOKUP(B76,#REF!,4,0)</f>
        <v>#REF!</v>
      </c>
      <c r="J76" s="59" t="e">
        <f>VLOOKUP(B76,#REF!,2,0)</f>
        <v>#REF!</v>
      </c>
      <c r="K76" s="73" t="e">
        <f t="shared" ref="K76:K88" si="686">I76*1485211/1408452</f>
        <v>#REF!</v>
      </c>
      <c r="L76" s="73" t="e">
        <f t="shared" ref="L76:L88" si="687">J76*1485211/1408452</f>
        <v>#REF!</v>
      </c>
      <c r="M76" s="59">
        <v>1820</v>
      </c>
      <c r="N76" s="59">
        <v>207</v>
      </c>
      <c r="O76" s="73">
        <v>11957</v>
      </c>
      <c r="P76" s="59">
        <f t="shared" si="674"/>
        <v>2391.4000000000001</v>
      </c>
      <c r="Q76" s="59">
        <f t="shared" si="675"/>
        <v>2391.4000000000001</v>
      </c>
      <c r="R76" s="59">
        <f t="shared" si="676"/>
        <v>0</v>
      </c>
      <c r="S76" s="59">
        <f t="shared" si="677"/>
        <v>0</v>
      </c>
      <c r="T76" s="59">
        <f t="shared" si="678"/>
        <v>0</v>
      </c>
      <c r="U76" s="59">
        <f t="shared" si="679"/>
        <v>0</v>
      </c>
      <c r="V76" s="59">
        <v>1492</v>
      </c>
      <c r="W76" s="59">
        <f t="shared" ref="W76:W79" si="688">V76*0.2</f>
        <v>298.39999999999998</v>
      </c>
      <c r="X76" s="59">
        <v>2096</v>
      </c>
      <c r="Y76" s="59">
        <f t="shared" ref="Y76:Y88" si="689">Z76+AA76+AB76*1.2</f>
        <v>0</v>
      </c>
      <c r="Z76" s="59"/>
      <c r="AA76" s="59"/>
      <c r="AB76" s="59"/>
      <c r="AC76" s="59">
        <v>412</v>
      </c>
      <c r="AD76" s="59">
        <f t="shared" ref="AD76:AD88" si="690">O76/$O$9*202299+W76/$W$9*134866+AC76/$AC$9*34867+X76/$X$9*100000</f>
        <v>724.590206017578</v>
      </c>
      <c r="AE76" s="59">
        <v>10335.940000000001</v>
      </c>
      <c r="AF76" s="62">
        <f t="shared" ref="AF76:AF88" si="691">($AE$64-AE76)/($AE$64-$AE$44)</f>
        <v>0.85889669550848602</v>
      </c>
      <c r="AG76" s="62">
        <f t="shared" ref="AG76:AG88" si="692">(O76+V76)*AF76/10000</f>
        <v>1.15513016578936</v>
      </c>
      <c r="AH76" s="62">
        <f t="shared" ref="AH76:AH79" si="693">AG76*0.2</f>
        <v>0.23102603315787301</v>
      </c>
      <c r="AI76" s="59">
        <f t="shared" ref="AI76:AI88" si="694">AH76/$AH$9*1348663*0.1</f>
        <v>68.863543729363698</v>
      </c>
      <c r="AJ76" s="59"/>
      <c r="AK76" s="59"/>
      <c r="AL76" s="59">
        <v>1648.5</v>
      </c>
      <c r="AM76" s="59">
        <v>5</v>
      </c>
      <c r="AN76" s="62">
        <v>1</v>
      </c>
      <c r="AO76" s="59">
        <f t="shared" ref="AO76:AO88" si="695">(AL76/$AL$9*80000)</f>
        <v>185.676328465062</v>
      </c>
      <c r="AP76" s="59"/>
      <c r="AQ76" s="59"/>
      <c r="AR76" s="59">
        <v>6571</v>
      </c>
      <c r="AS76" s="59">
        <f t="shared" ref="AS76:AS88" si="696">AR76/$AR$9*50000</f>
        <v>90.010122885529199</v>
      </c>
      <c r="AT76" s="189">
        <v>0.1348</v>
      </c>
      <c r="AU76" s="59">
        <f t="shared" ref="AU76:AU88" si="697">AT76/$AT$9*50000</f>
        <v>97.878476755313997</v>
      </c>
      <c r="AV76" s="59"/>
      <c r="AW76" s="59">
        <f t="shared" ref="AW76:AW109" si="698">AV76*1000</f>
        <v>0</v>
      </c>
      <c r="AX76" s="59"/>
      <c r="AY76" s="62">
        <v>84</v>
      </c>
      <c r="AZ76" s="62" t="s">
        <v>442</v>
      </c>
      <c r="BA76" s="59">
        <v>500</v>
      </c>
      <c r="BB76" s="59" t="s">
        <v>443</v>
      </c>
      <c r="BC76" s="59"/>
      <c r="BD76" s="62">
        <v>17.862332296152498</v>
      </c>
      <c r="BE76" s="59">
        <f t="shared" ref="BE76:BE88" si="699">BD76/$BD$9*42266</f>
        <v>223.87119315829599</v>
      </c>
      <c r="BF76" s="62" t="e">
        <f>VLOOKUP(B76,'2022年项目库建设情况'!B:O,14,0)</f>
        <v>#N/A</v>
      </c>
      <c r="BG76" s="59" t="e">
        <f t="shared" ref="BG76:BG88" si="700">BF76/$BF$9*1348663*0.025</f>
        <v>#N/A</v>
      </c>
      <c r="BH76" s="53" t="e">
        <f>ROUND(AI76+AD76+#REF!+#REF!+BE76+BG76,0)</f>
        <v>#REF!</v>
      </c>
      <c r="BI76" s="59" t="e">
        <f t="shared" ref="BI76:BI88" si="701">N76-G76</f>
        <v>#REF!</v>
      </c>
      <c r="BJ76" s="167" t="e">
        <f t="shared" ref="BJ76:BJ88" si="702">BI76/G76</f>
        <v>#REF!</v>
      </c>
      <c r="BK76" s="170">
        <f t="shared" ref="BK76:BK88" si="703">AD76+AI76+AO76+AP76+AS76+AU76+AW76+AX76+BA76+BC76+BE76</f>
        <v>1890.88987101114</v>
      </c>
      <c r="BL76" s="59">
        <v>1820</v>
      </c>
      <c r="BM76" s="59">
        <f t="shared" ref="BM76:BM88" si="704">BL76/$BL$9*1348663</f>
        <v>1652.6720176459801</v>
      </c>
      <c r="BN76" s="59">
        <f t="shared" ref="BN76:BN88" si="705">BK76-BM76</f>
        <v>238.21785336516501</v>
      </c>
      <c r="BO76" s="43">
        <f t="shared" ref="BO76:BO139" si="706">BN76/BM76</f>
        <v>0.14414103392666899</v>
      </c>
    </row>
    <row r="77" ht="17" customHeight="1">
      <c r="A77" s="46">
        <v>45</v>
      </c>
      <c r="B77" s="82" t="s">
        <v>124</v>
      </c>
      <c r="C77" s="46" t="s">
        <v>78</v>
      </c>
      <c r="D77" s="46"/>
      <c r="E77" s="46"/>
      <c r="F77" s="46"/>
      <c r="G77" s="73" t="e">
        <f>VLOOKUP(B:B,#REF!,2,0)</f>
        <v>#REF!</v>
      </c>
      <c r="H77" s="73" t="e">
        <f t="shared" si="685"/>
        <v>#REF!</v>
      </c>
      <c r="I77" s="59" t="e">
        <f>VLOOKUP(B77,#REF!,4,0)</f>
        <v>#REF!</v>
      </c>
      <c r="J77" s="59" t="e">
        <f>VLOOKUP(B77,#REF!,2,0)</f>
        <v>#REF!</v>
      </c>
      <c r="K77" s="73" t="e">
        <f t="shared" si="686"/>
        <v>#REF!</v>
      </c>
      <c r="L77" s="73" t="e">
        <f t="shared" si="687"/>
        <v>#REF!</v>
      </c>
      <c r="M77" s="59">
        <v>2137</v>
      </c>
      <c r="N77" s="59">
        <v>256</v>
      </c>
      <c r="O77" s="73">
        <v>22408</v>
      </c>
      <c r="P77" s="59">
        <f t="shared" si="674"/>
        <v>4481.6000000000004</v>
      </c>
      <c r="Q77" s="59">
        <f t="shared" si="675"/>
        <v>4481.6000000000004</v>
      </c>
      <c r="R77" s="59">
        <f t="shared" si="676"/>
        <v>0</v>
      </c>
      <c r="S77" s="59">
        <f t="shared" si="677"/>
        <v>0</v>
      </c>
      <c r="T77" s="59">
        <f t="shared" si="678"/>
        <v>0</v>
      </c>
      <c r="U77" s="59">
        <f t="shared" si="679"/>
        <v>0</v>
      </c>
      <c r="V77" s="59">
        <v>1405</v>
      </c>
      <c r="W77" s="59">
        <f t="shared" si="688"/>
        <v>281</v>
      </c>
      <c r="X77" s="59">
        <v>1046</v>
      </c>
      <c r="Y77" s="59">
        <f t="shared" si="689"/>
        <v>0</v>
      </c>
      <c r="Z77" s="59"/>
      <c r="AA77" s="59"/>
      <c r="AB77" s="59"/>
      <c r="AC77" s="59">
        <v>663</v>
      </c>
      <c r="AD77" s="59">
        <f t="shared" si="690"/>
        <v>993.19344255223905</v>
      </c>
      <c r="AE77" s="59">
        <v>11774.280000000001</v>
      </c>
      <c r="AF77" s="62">
        <f t="shared" si="691"/>
        <v>0.62679481428170303</v>
      </c>
      <c r="AG77" s="62">
        <f t="shared" si="692"/>
        <v>1.4925864912490201</v>
      </c>
      <c r="AH77" s="62">
        <f t="shared" si="693"/>
        <v>0.298517298249804</v>
      </c>
      <c r="AI77" s="59">
        <f t="shared" si="694"/>
        <v>88.981136632117995</v>
      </c>
      <c r="AJ77" s="59"/>
      <c r="AK77" s="59"/>
      <c r="AL77" s="59">
        <v>918.38</v>
      </c>
      <c r="AM77" s="59">
        <v>19</v>
      </c>
      <c r="AN77" s="62">
        <v>0.99013848090641998</v>
      </c>
      <c r="AO77" s="59">
        <f t="shared" si="695"/>
        <v>103.440355799662</v>
      </c>
      <c r="AP77" s="59"/>
      <c r="AQ77" s="59"/>
      <c r="AR77" s="59">
        <v>11896</v>
      </c>
      <c r="AS77" s="59">
        <f t="shared" si="696"/>
        <v>162.95243065686401</v>
      </c>
      <c r="AT77" s="189">
        <v>0.25230000000000002</v>
      </c>
      <c r="AU77" s="59">
        <f t="shared" si="697"/>
        <v>183.19539825939</v>
      </c>
      <c r="AV77" s="59"/>
      <c r="AW77" s="59">
        <f t="shared" si="698"/>
        <v>0</v>
      </c>
      <c r="AX77" s="59"/>
      <c r="AY77" s="62">
        <v>83.549999999999997</v>
      </c>
      <c r="AZ77" s="62" t="s">
        <v>442</v>
      </c>
      <c r="BA77" s="59">
        <v>500</v>
      </c>
      <c r="BB77" s="59" t="s">
        <v>443</v>
      </c>
      <c r="BC77" s="59"/>
      <c r="BD77" s="62">
        <v>35.783493322973598</v>
      </c>
      <c r="BE77" s="59">
        <f t="shared" si="699"/>
        <v>448.47969530337002</v>
      </c>
      <c r="BF77" s="62" t="e">
        <f>VLOOKUP(B77,'2022年项目库建设情况'!B:O,14,0)</f>
        <v>#N/A</v>
      </c>
      <c r="BG77" s="59" t="e">
        <f t="shared" si="700"/>
        <v>#N/A</v>
      </c>
      <c r="BH77" s="53" t="e">
        <f>ROUND(AI77+AD77+#REF!+#REF!+BE77+BG77,0)</f>
        <v>#REF!</v>
      </c>
      <c r="BI77" s="59" t="e">
        <f t="shared" si="701"/>
        <v>#REF!</v>
      </c>
      <c r="BJ77" s="167" t="e">
        <f t="shared" si="702"/>
        <v>#REF!</v>
      </c>
      <c r="BK77" s="170">
        <f t="shared" si="703"/>
        <v>2480.24245920364</v>
      </c>
      <c r="BL77" s="59">
        <v>2137</v>
      </c>
      <c r="BM77" s="59">
        <f t="shared" si="704"/>
        <v>1940.5275284117899</v>
      </c>
      <c r="BN77" s="59">
        <f t="shared" si="705"/>
        <v>539.71493079185598</v>
      </c>
      <c r="BO77" s="43">
        <f t="shared" si="706"/>
        <v>0.27812794350491998</v>
      </c>
    </row>
    <row r="78" ht="17" customHeight="1">
      <c r="A78" s="46">
        <v>46</v>
      </c>
      <c r="B78" s="82" t="s">
        <v>125</v>
      </c>
      <c r="C78" s="46" t="s">
        <v>78</v>
      </c>
      <c r="D78" s="46"/>
      <c r="E78" s="46"/>
      <c r="F78" s="46"/>
      <c r="G78" s="73" t="e">
        <f>VLOOKUP(B:B,#REF!,2,0)</f>
        <v>#REF!</v>
      </c>
      <c r="H78" s="73" t="e">
        <f t="shared" si="685"/>
        <v>#REF!</v>
      </c>
      <c r="I78" s="59" t="e">
        <f>VLOOKUP(B78,#REF!,4,0)</f>
        <v>#REF!</v>
      </c>
      <c r="J78" s="59" t="e">
        <f>VLOOKUP(B78,#REF!,2,0)</f>
        <v>#REF!</v>
      </c>
      <c r="K78" s="73" t="e">
        <f t="shared" si="686"/>
        <v>#REF!</v>
      </c>
      <c r="L78" s="73" t="e">
        <f t="shared" si="687"/>
        <v>#REF!</v>
      </c>
      <c r="M78" s="59">
        <v>3836</v>
      </c>
      <c r="N78" s="59">
        <v>420</v>
      </c>
      <c r="O78" s="73">
        <v>58704</v>
      </c>
      <c r="P78" s="59">
        <f t="shared" si="674"/>
        <v>11740.799999999999</v>
      </c>
      <c r="Q78" s="59">
        <f t="shared" si="675"/>
        <v>11740.799999999999</v>
      </c>
      <c r="R78" s="59">
        <f t="shared" si="676"/>
        <v>0</v>
      </c>
      <c r="S78" s="59">
        <f t="shared" si="677"/>
        <v>0</v>
      </c>
      <c r="T78" s="59">
        <f t="shared" si="678"/>
        <v>0</v>
      </c>
      <c r="U78" s="59">
        <f t="shared" si="679"/>
        <v>0</v>
      </c>
      <c r="V78" s="59">
        <v>3357</v>
      </c>
      <c r="W78" s="59">
        <f t="shared" si="688"/>
        <v>671.39999999999998</v>
      </c>
      <c r="X78" s="59">
        <v>2836</v>
      </c>
      <c r="Y78" s="59">
        <f t="shared" si="689"/>
        <v>0</v>
      </c>
      <c r="Z78" s="59"/>
      <c r="AA78" s="59"/>
      <c r="AB78" s="59"/>
      <c r="AC78" s="59">
        <v>734</v>
      </c>
      <c r="AD78" s="59">
        <f t="shared" si="690"/>
        <v>2362.9476115820798</v>
      </c>
      <c r="AE78" s="59">
        <v>11660.549999999999</v>
      </c>
      <c r="AF78" s="62">
        <f t="shared" si="691"/>
        <v>0.64514718364633294</v>
      </c>
      <c r="AG78" s="62">
        <f t="shared" si="692"/>
        <v>4.0038479364275101</v>
      </c>
      <c r="AH78" s="62">
        <f t="shared" si="693"/>
        <v>0.80076958728550196</v>
      </c>
      <c r="AI78" s="59">
        <f t="shared" si="694"/>
        <v>238.69098532933299</v>
      </c>
      <c r="AJ78" s="59"/>
      <c r="AK78" s="59"/>
      <c r="AL78" s="59">
        <v>1617</v>
      </c>
      <c r="AM78" s="59">
        <v>44</v>
      </c>
      <c r="AN78" s="62">
        <v>1</v>
      </c>
      <c r="AO78" s="59">
        <f t="shared" si="695"/>
        <v>182.12837314407301</v>
      </c>
      <c r="AP78" s="59"/>
      <c r="AQ78" s="59"/>
      <c r="AR78" s="59">
        <v>28637</v>
      </c>
      <c r="AS78" s="59">
        <f t="shared" si="696"/>
        <v>392.27208782116901</v>
      </c>
      <c r="AT78" s="189">
        <v>0.65749999999999997</v>
      </c>
      <c r="AU78" s="59">
        <f t="shared" si="697"/>
        <v>477.41170969301902</v>
      </c>
      <c r="AV78" s="59"/>
      <c r="AW78" s="59"/>
      <c r="AX78" s="59"/>
      <c r="AY78" s="62">
        <v>86.189999999999998</v>
      </c>
      <c r="AZ78" s="62" t="s">
        <v>442</v>
      </c>
      <c r="BA78" s="59">
        <v>500</v>
      </c>
      <c r="BB78" s="59" t="s">
        <v>441</v>
      </c>
      <c r="BC78" s="59">
        <v>800</v>
      </c>
      <c r="BD78" s="62">
        <v>36.785757189779602</v>
      </c>
      <c r="BE78" s="59">
        <f t="shared" si="699"/>
        <v>461.04121325081297</v>
      </c>
      <c r="BF78" s="62" t="e">
        <f>VLOOKUP(B78,'2022年项目库建设情况'!B:O,14,0)</f>
        <v>#N/A</v>
      </c>
      <c r="BG78" s="59" t="e">
        <f t="shared" si="700"/>
        <v>#N/A</v>
      </c>
      <c r="BH78" s="53" t="e">
        <f>ROUND(AI78+AD78+#REF!+#REF!+BE78+BG78,0)+1</f>
        <v>#REF!</v>
      </c>
      <c r="BI78" s="59" t="e">
        <f t="shared" si="701"/>
        <v>#REF!</v>
      </c>
      <c r="BJ78" s="167" t="e">
        <f t="shared" si="702"/>
        <v>#REF!</v>
      </c>
      <c r="BK78" s="170">
        <f t="shared" si="703"/>
        <v>5414.4919808204904</v>
      </c>
      <c r="BL78" s="59">
        <v>3836</v>
      </c>
      <c r="BM78" s="59">
        <f t="shared" si="704"/>
        <v>3483.3240987307499</v>
      </c>
      <c r="BN78" s="59">
        <f t="shared" si="705"/>
        <v>1931.16788208974</v>
      </c>
      <c r="BO78" s="43">
        <f t="shared" si="706"/>
        <v>0.55440373257068198</v>
      </c>
    </row>
    <row r="79" ht="17" customHeight="1">
      <c r="A79" s="46">
        <v>47</v>
      </c>
      <c r="B79" s="82" t="s">
        <v>127</v>
      </c>
      <c r="C79" s="46" t="s">
        <v>78</v>
      </c>
      <c r="D79" s="46"/>
      <c r="E79" s="46"/>
      <c r="F79" s="46"/>
      <c r="G79" s="73" t="e">
        <f>VLOOKUP(B:B,#REF!,2,0)</f>
        <v>#REF!</v>
      </c>
      <c r="H79" s="73" t="e">
        <f t="shared" si="685"/>
        <v>#REF!</v>
      </c>
      <c r="I79" s="59" t="e">
        <f>VLOOKUP(B79,#REF!,4,0)</f>
        <v>#REF!</v>
      </c>
      <c r="J79" s="59" t="e">
        <f>VLOOKUP(B79,#REF!,2,0)</f>
        <v>#REF!</v>
      </c>
      <c r="K79" s="73" t="e">
        <f t="shared" si="686"/>
        <v>#REF!</v>
      </c>
      <c r="L79" s="73" t="e">
        <f t="shared" si="687"/>
        <v>#REF!</v>
      </c>
      <c r="M79" s="59">
        <v>3231</v>
      </c>
      <c r="N79" s="59">
        <v>402</v>
      </c>
      <c r="O79" s="73">
        <v>48521</v>
      </c>
      <c r="P79" s="59">
        <f t="shared" si="674"/>
        <v>9704.2000000000007</v>
      </c>
      <c r="Q79" s="59">
        <f t="shared" si="675"/>
        <v>9704.2000000000007</v>
      </c>
      <c r="R79" s="59">
        <f t="shared" si="676"/>
        <v>0</v>
      </c>
      <c r="S79" s="59">
        <f t="shared" si="677"/>
        <v>0</v>
      </c>
      <c r="T79" s="59">
        <f t="shared" si="678"/>
        <v>0</v>
      </c>
      <c r="U79" s="59">
        <f t="shared" si="679"/>
        <v>0</v>
      </c>
      <c r="V79" s="59">
        <v>3812</v>
      </c>
      <c r="W79" s="59">
        <f t="shared" si="688"/>
        <v>762.39999999999998</v>
      </c>
      <c r="X79" s="59">
        <v>1464</v>
      </c>
      <c r="Y79" s="59">
        <f t="shared" si="689"/>
        <v>0</v>
      </c>
      <c r="Z79" s="59"/>
      <c r="AA79" s="59"/>
      <c r="AB79" s="59"/>
      <c r="AC79" s="59">
        <v>1220</v>
      </c>
      <c r="AD79" s="59">
        <f t="shared" si="690"/>
        <v>2046.6794427878999</v>
      </c>
      <c r="AE79" s="59">
        <v>11061.799999999999</v>
      </c>
      <c r="AF79" s="62">
        <f t="shared" si="691"/>
        <v>0.741766203755999</v>
      </c>
      <c r="AG79" s="62">
        <f t="shared" si="692"/>
        <v>3.88188507411627</v>
      </c>
      <c r="AH79" s="62">
        <f t="shared" si="693"/>
        <v>0.77637701482325405</v>
      </c>
      <c r="AI79" s="59">
        <f t="shared" si="694"/>
        <v>231.42012084075</v>
      </c>
      <c r="AJ79" s="59"/>
      <c r="AK79" s="59"/>
      <c r="AL79" s="59">
        <v>2514.3000000000002</v>
      </c>
      <c r="AM79" s="59">
        <v>92</v>
      </c>
      <c r="AN79" s="62">
        <v>1</v>
      </c>
      <c r="AO79" s="59">
        <f t="shared" si="695"/>
        <v>283.19441471623003</v>
      </c>
      <c r="AP79" s="59"/>
      <c r="AQ79" s="59"/>
      <c r="AR79" s="59">
        <v>20369</v>
      </c>
      <c r="AS79" s="59">
        <f t="shared" si="696"/>
        <v>279.01631305057703</v>
      </c>
      <c r="AT79" s="189">
        <v>0.48089999999999999</v>
      </c>
      <c r="AU79" s="59">
        <f t="shared" si="697"/>
        <v>349.18219192604198</v>
      </c>
      <c r="AV79" s="59">
        <v>1</v>
      </c>
      <c r="AW79" s="59">
        <f t="shared" si="698"/>
        <v>1000</v>
      </c>
      <c r="AX79" s="59"/>
      <c r="AY79" s="62">
        <v>84.799999999999997</v>
      </c>
      <c r="AZ79" s="62" t="s">
        <v>442</v>
      </c>
      <c r="BA79" s="59">
        <v>500</v>
      </c>
      <c r="BB79" s="59" t="s">
        <v>441</v>
      </c>
      <c r="BC79" s="59">
        <v>800</v>
      </c>
      <c r="BD79" s="62">
        <v>12.962525987695599</v>
      </c>
      <c r="BE79" s="59">
        <f t="shared" si="699"/>
        <v>162.46121229286001</v>
      </c>
      <c r="BF79" s="62" t="e">
        <f>VLOOKUP(B79,'2022年项目库建设情况'!B:O,14,0)</f>
        <v>#N/A</v>
      </c>
      <c r="BG79" s="59" t="e">
        <f t="shared" si="700"/>
        <v>#N/A</v>
      </c>
      <c r="BH79" s="53" t="e">
        <f>ROUND(AI79+AD79+#REF!+#REF!+BE79+BG79,0)</f>
        <v>#REF!</v>
      </c>
      <c r="BI79" s="59" t="e">
        <f t="shared" si="701"/>
        <v>#REF!</v>
      </c>
      <c r="BJ79" s="167" t="e">
        <f t="shared" si="702"/>
        <v>#REF!</v>
      </c>
      <c r="BK79" s="170">
        <f t="shared" si="703"/>
        <v>5651.9536956143602</v>
      </c>
      <c r="BL79" s="59">
        <v>3231</v>
      </c>
      <c r="BM79" s="59">
        <f t="shared" si="704"/>
        <v>2933.94686209569</v>
      </c>
      <c r="BN79" s="59">
        <f t="shared" si="705"/>
        <v>2718.0068335186702</v>
      </c>
      <c r="BO79" s="43">
        <f t="shared" si="706"/>
        <v>0.92639947527107702</v>
      </c>
    </row>
    <row r="80" ht="17" customHeight="1">
      <c r="A80" s="46">
        <v>48</v>
      </c>
      <c r="B80" s="82" t="s">
        <v>128</v>
      </c>
      <c r="C80" s="46" t="s">
        <v>90</v>
      </c>
      <c r="D80" s="46">
        <v>2017</v>
      </c>
      <c r="E80" s="46"/>
      <c r="F80" s="46"/>
      <c r="G80" s="73" t="e">
        <f>VLOOKUP(B:B,#REF!,2,0)</f>
        <v>#REF!</v>
      </c>
      <c r="H80" s="73" t="e">
        <f t="shared" si="685"/>
        <v>#REF!</v>
      </c>
      <c r="I80" s="59" t="e">
        <f>VLOOKUP(B80,#REF!,4,0)</f>
        <v>#REF!</v>
      </c>
      <c r="J80" s="59" t="e">
        <f>VLOOKUP(B80,#REF!,2,0)</f>
        <v>#REF!</v>
      </c>
      <c r="K80" s="73" t="e">
        <f t="shared" si="686"/>
        <v>#REF!</v>
      </c>
      <c r="L80" s="73" t="e">
        <f t="shared" si="687"/>
        <v>#REF!</v>
      </c>
      <c r="M80" s="59">
        <v>2634</v>
      </c>
      <c r="N80" s="59">
        <v>378</v>
      </c>
      <c r="O80" s="73">
        <v>33166</v>
      </c>
      <c r="P80" s="59">
        <f t="shared" si="674"/>
        <v>13266.4</v>
      </c>
      <c r="Q80" s="59">
        <f t="shared" si="675"/>
        <v>0</v>
      </c>
      <c r="R80" s="59">
        <f t="shared" si="676"/>
        <v>13266.4</v>
      </c>
      <c r="S80" s="59">
        <f t="shared" si="677"/>
        <v>0</v>
      </c>
      <c r="T80" s="59">
        <f t="shared" si="678"/>
        <v>0</v>
      </c>
      <c r="U80" s="59">
        <f t="shared" si="679"/>
        <v>0</v>
      </c>
      <c r="V80" s="59">
        <v>2207</v>
      </c>
      <c r="W80" s="59">
        <f>V80*0.5</f>
        <v>1103.5</v>
      </c>
      <c r="X80" s="59">
        <v>2719</v>
      </c>
      <c r="Y80" s="59">
        <f t="shared" si="689"/>
        <v>0</v>
      </c>
      <c r="Z80" s="59"/>
      <c r="AA80" s="59"/>
      <c r="AB80" s="59"/>
      <c r="AC80" s="59">
        <v>825</v>
      </c>
      <c r="AD80" s="59">
        <f t="shared" si="690"/>
        <v>1673.2216870116799</v>
      </c>
      <c r="AE80" s="59">
        <v>12729.27</v>
      </c>
      <c r="AF80" s="62">
        <f t="shared" si="691"/>
        <v>0.47269009943488999</v>
      </c>
      <c r="AG80" s="62">
        <f t="shared" si="692"/>
        <v>1.6720466887310399</v>
      </c>
      <c r="AH80" s="62">
        <f>AG80*0.5</f>
        <v>0.83602334436551795</v>
      </c>
      <c r="AI80" s="59">
        <f t="shared" si="694"/>
        <v>249.19931899684201</v>
      </c>
      <c r="AJ80" s="59"/>
      <c r="AK80" s="59"/>
      <c r="AL80" s="59">
        <v>2510.4771999999998</v>
      </c>
      <c r="AM80" s="59">
        <v>4</v>
      </c>
      <c r="AN80" s="62">
        <v>1</v>
      </c>
      <c r="AO80" s="59">
        <f t="shared" si="695"/>
        <v>282.76383936381501</v>
      </c>
      <c r="AP80" s="59"/>
      <c r="AQ80" s="59"/>
      <c r="AR80" s="59">
        <v>13400</v>
      </c>
      <c r="AS80" s="59">
        <f t="shared" si="696"/>
        <v>183.55435195040201</v>
      </c>
      <c r="AT80" s="189">
        <v>0.34239999999999998</v>
      </c>
      <c r="AU80" s="59">
        <f t="shared" si="697"/>
        <v>248.61713977017399</v>
      </c>
      <c r="AV80" s="59">
        <v>1</v>
      </c>
      <c r="AW80" s="59">
        <f t="shared" si="698"/>
        <v>1000</v>
      </c>
      <c r="AX80" s="59"/>
      <c r="AY80" s="62">
        <v>83.090000000000003</v>
      </c>
      <c r="AZ80" s="62" t="s">
        <v>442</v>
      </c>
      <c r="BA80" s="59">
        <v>500</v>
      </c>
      <c r="BB80" s="59" t="s">
        <v>441</v>
      </c>
      <c r="BC80" s="59">
        <v>800</v>
      </c>
      <c r="BD80" s="62">
        <v>13.702583995738401</v>
      </c>
      <c r="BE80" s="59">
        <f t="shared" si="699"/>
        <v>171.736466303366</v>
      </c>
      <c r="BF80" s="62" t="e">
        <f>VLOOKUP(B80,'2022年项目库建设情况'!B:O,14,0)</f>
        <v>#N/A</v>
      </c>
      <c r="BG80" s="59" t="e">
        <f t="shared" si="700"/>
        <v>#N/A</v>
      </c>
      <c r="BH80" s="53" t="e">
        <f>ROUND(AI80+AD80+#REF!+#REF!+BE80+BG80,0)</f>
        <v>#REF!</v>
      </c>
      <c r="BI80" s="59" t="e">
        <f t="shared" si="701"/>
        <v>#REF!</v>
      </c>
      <c r="BJ80" s="167" t="e">
        <f t="shared" si="702"/>
        <v>#REF!</v>
      </c>
      <c r="BK80" s="170">
        <f t="shared" si="703"/>
        <v>5109.09280339628</v>
      </c>
      <c r="BL80" s="59">
        <v>2634</v>
      </c>
      <c r="BM80" s="59">
        <f t="shared" si="704"/>
        <v>2391.83411784588</v>
      </c>
      <c r="BN80" s="59">
        <f t="shared" si="705"/>
        <v>2717.2586855503901</v>
      </c>
      <c r="BO80" s="43">
        <f t="shared" si="706"/>
        <v>1.1360564954218499</v>
      </c>
    </row>
    <row r="81" ht="17" customHeight="1">
      <c r="A81" s="46">
        <v>49</v>
      </c>
      <c r="B81" s="82" t="s">
        <v>129</v>
      </c>
      <c r="C81" s="46" t="s">
        <v>78</v>
      </c>
      <c r="D81" s="46"/>
      <c r="E81" s="46"/>
      <c r="F81" s="46"/>
      <c r="G81" s="73" t="e">
        <f>VLOOKUP(B:B,#REF!,2,0)</f>
        <v>#REF!</v>
      </c>
      <c r="H81" s="73" t="e">
        <f t="shared" si="685"/>
        <v>#REF!</v>
      </c>
      <c r="I81" s="59" t="e">
        <f>VLOOKUP(B81,#REF!,4,0)</f>
        <v>#REF!</v>
      </c>
      <c r="J81" s="59" t="e">
        <f>VLOOKUP(B81,#REF!,2,0)</f>
        <v>#REF!</v>
      </c>
      <c r="K81" s="73" t="e">
        <f t="shared" si="686"/>
        <v>#REF!</v>
      </c>
      <c r="L81" s="73" t="e">
        <f t="shared" si="687"/>
        <v>#REF!</v>
      </c>
      <c r="M81" s="59">
        <v>3125</v>
      </c>
      <c r="N81" s="59">
        <v>466</v>
      </c>
      <c r="O81" s="73">
        <v>42543</v>
      </c>
      <c r="P81" s="59">
        <f t="shared" si="674"/>
        <v>8508.6000000000004</v>
      </c>
      <c r="Q81" s="59">
        <f t="shared" si="675"/>
        <v>8508.6000000000004</v>
      </c>
      <c r="R81" s="59">
        <f t="shared" si="676"/>
        <v>0</v>
      </c>
      <c r="S81" s="59">
        <f t="shared" si="677"/>
        <v>0</v>
      </c>
      <c r="T81" s="59">
        <f t="shared" si="678"/>
        <v>0</v>
      </c>
      <c r="U81" s="59">
        <f t="shared" si="679"/>
        <v>0</v>
      </c>
      <c r="V81" s="59">
        <v>5469</v>
      </c>
      <c r="W81" s="59">
        <f>V81*0.2</f>
        <v>1093.8</v>
      </c>
      <c r="X81" s="59">
        <v>2092</v>
      </c>
      <c r="Y81" s="59">
        <f t="shared" si="689"/>
        <v>0</v>
      </c>
      <c r="Z81" s="59"/>
      <c r="AA81" s="59"/>
      <c r="AB81" s="59"/>
      <c r="AC81" s="59">
        <v>1055</v>
      </c>
      <c r="AD81" s="59">
        <f t="shared" si="690"/>
        <v>1948.04166673091</v>
      </c>
      <c r="AE81" s="59">
        <v>11208.040000000001</v>
      </c>
      <c r="AF81" s="62">
        <f t="shared" si="691"/>
        <v>0.71816776450616604</v>
      </c>
      <c r="AG81" s="62">
        <f t="shared" si="692"/>
        <v>3.4480670709469998</v>
      </c>
      <c r="AH81" s="62">
        <f>AG81*0.2</f>
        <v>0.68961341418940103</v>
      </c>
      <c r="AI81" s="59">
        <f t="shared" si="694"/>
        <v>205.55788823996099</v>
      </c>
      <c r="AJ81" s="59"/>
      <c r="AK81" s="59"/>
      <c r="AL81" s="59">
        <v>3855.0500000000002</v>
      </c>
      <c r="AM81" s="59">
        <v>56</v>
      </c>
      <c r="AN81" s="62">
        <v>0.90379770458150599</v>
      </c>
      <c r="AO81" s="59">
        <f t="shared" si="695"/>
        <v>434.207782862746</v>
      </c>
      <c r="AP81" s="59"/>
      <c r="AQ81" s="59"/>
      <c r="AR81" s="59">
        <v>17704</v>
      </c>
      <c r="AS81" s="59">
        <f t="shared" si="696"/>
        <v>242.51091394999401</v>
      </c>
      <c r="AT81" s="189">
        <v>0.49359999999999998</v>
      </c>
      <c r="AU81" s="59">
        <f t="shared" si="697"/>
        <v>358.40368046307901</v>
      </c>
      <c r="AV81" s="59">
        <v>1</v>
      </c>
      <c r="AW81" s="59">
        <f t="shared" si="698"/>
        <v>1000</v>
      </c>
      <c r="AX81" s="59"/>
      <c r="AY81" s="62">
        <v>84.280000000000001</v>
      </c>
      <c r="AZ81" s="62" t="s">
        <v>442</v>
      </c>
      <c r="BA81" s="59">
        <v>500</v>
      </c>
      <c r="BB81" s="59" t="s">
        <v>443</v>
      </c>
      <c r="BC81" s="59"/>
      <c r="BD81" s="62">
        <v>38.550374563911397</v>
      </c>
      <c r="BE81" s="59">
        <f t="shared" si="699"/>
        <v>483.157417924703</v>
      </c>
      <c r="BF81" s="62" t="e">
        <f>VLOOKUP(B81,'2022年项目库建设情况'!B:O,14,0)</f>
        <v>#N/A</v>
      </c>
      <c r="BG81" s="59" t="e">
        <f t="shared" si="700"/>
        <v>#N/A</v>
      </c>
      <c r="BH81" s="53" t="e">
        <f>ROUND(AI81+AD81+#REF!+#REF!+BE81+BG81,0)</f>
        <v>#REF!</v>
      </c>
      <c r="BI81" s="59" t="e">
        <f t="shared" si="701"/>
        <v>#REF!</v>
      </c>
      <c r="BJ81" s="167" t="e">
        <f t="shared" si="702"/>
        <v>#REF!</v>
      </c>
      <c r="BK81" s="170">
        <f t="shared" si="703"/>
        <v>5171.8793501713999</v>
      </c>
      <c r="BL81" s="59">
        <v>3125</v>
      </c>
      <c r="BM81" s="59">
        <f t="shared" si="704"/>
        <v>2837.6923379910299</v>
      </c>
      <c r="BN81" s="59">
        <f t="shared" si="705"/>
        <v>2334.1870121803599</v>
      </c>
      <c r="BO81" s="43">
        <f t="shared" si="706"/>
        <v>0.822565216436701</v>
      </c>
    </row>
    <row r="82" ht="17" customHeight="1">
      <c r="A82" s="46">
        <v>50</v>
      </c>
      <c r="B82" s="82" t="s">
        <v>130</v>
      </c>
      <c r="C82" s="46" t="s">
        <v>90</v>
      </c>
      <c r="D82" s="46">
        <v>2018</v>
      </c>
      <c r="E82" s="46"/>
      <c r="F82" s="46"/>
      <c r="G82" s="73" t="e">
        <f>VLOOKUP(B:B,#REF!,2,0)</f>
        <v>#REF!</v>
      </c>
      <c r="H82" s="73" t="e">
        <f t="shared" si="685"/>
        <v>#REF!</v>
      </c>
      <c r="I82" s="59" t="e">
        <f>VLOOKUP(B82,#REF!,4,0)</f>
        <v>#REF!</v>
      </c>
      <c r="J82" s="59" t="e">
        <f>VLOOKUP(B82,#REF!,2,0)</f>
        <v>#REF!</v>
      </c>
      <c r="K82" s="73" t="e">
        <f t="shared" si="686"/>
        <v>#REF!</v>
      </c>
      <c r="L82" s="73" t="e">
        <f t="shared" si="687"/>
        <v>#REF!</v>
      </c>
      <c r="M82" s="59">
        <v>4529</v>
      </c>
      <c r="N82" s="59">
        <v>749</v>
      </c>
      <c r="O82" s="73">
        <v>48392</v>
      </c>
      <c r="P82" s="59">
        <f t="shared" si="674"/>
        <v>29035.200000000001</v>
      </c>
      <c r="Q82" s="59">
        <f t="shared" si="675"/>
        <v>0</v>
      </c>
      <c r="R82" s="59">
        <f t="shared" si="676"/>
        <v>0</v>
      </c>
      <c r="S82" s="59">
        <f t="shared" si="677"/>
        <v>29035.200000000001</v>
      </c>
      <c r="T82" s="59">
        <f t="shared" si="678"/>
        <v>0</v>
      </c>
      <c r="U82" s="59">
        <f t="shared" si="679"/>
        <v>0</v>
      </c>
      <c r="V82" s="59">
        <v>5957</v>
      </c>
      <c r="W82" s="59">
        <f>V82*0.5</f>
        <v>2978.5</v>
      </c>
      <c r="X82" s="59">
        <v>2929</v>
      </c>
      <c r="Y82" s="59">
        <f t="shared" si="689"/>
        <v>0</v>
      </c>
      <c r="Z82" s="59"/>
      <c r="AA82" s="59"/>
      <c r="AB82" s="59"/>
      <c r="AC82" s="59">
        <v>0</v>
      </c>
      <c r="AD82" s="59">
        <f t="shared" si="690"/>
        <v>2296.6150193112799</v>
      </c>
      <c r="AE82" s="59">
        <v>11556.799999999999</v>
      </c>
      <c r="AF82" s="62">
        <f t="shared" si="691"/>
        <v>0.66188910153589997</v>
      </c>
      <c r="AG82" s="62">
        <f t="shared" si="692"/>
        <v>3.5973010779374599</v>
      </c>
      <c r="AH82" s="62">
        <f>AG82*0.5</f>
        <v>1.79865053896873</v>
      </c>
      <c r="AI82" s="59">
        <f t="shared" si="694"/>
        <v>536.13633213134699</v>
      </c>
      <c r="AJ82" s="59"/>
      <c r="AK82" s="59"/>
      <c r="AL82" s="59">
        <v>5715.8000000000002</v>
      </c>
      <c r="AM82" s="59">
        <v>43</v>
      </c>
      <c r="AN82" s="62">
        <v>1</v>
      </c>
      <c r="AO82" s="59">
        <f t="shared" si="695"/>
        <v>643.79057218113496</v>
      </c>
      <c r="AP82" s="59"/>
      <c r="AQ82" s="59"/>
      <c r="AR82" s="59">
        <v>23918</v>
      </c>
      <c r="AS82" s="59">
        <f t="shared" si="696"/>
        <v>327.63082014550099</v>
      </c>
      <c r="AT82" s="189">
        <v>0.56830000000000003</v>
      </c>
      <c r="AU82" s="59">
        <f t="shared" si="697"/>
        <v>412.64345949588198</v>
      </c>
      <c r="AV82" s="59">
        <v>1</v>
      </c>
      <c r="AW82" s="59">
        <f t="shared" si="698"/>
        <v>1000</v>
      </c>
      <c r="AX82" s="59"/>
      <c r="AY82" s="62">
        <v>83.549999999999997</v>
      </c>
      <c r="AZ82" s="62" t="s">
        <v>442</v>
      </c>
      <c r="BA82" s="59">
        <v>500</v>
      </c>
      <c r="BB82" s="59" t="s">
        <v>441</v>
      </c>
      <c r="BC82" s="59">
        <v>800</v>
      </c>
      <c r="BD82" s="62">
        <v>12.946269740027899</v>
      </c>
      <c r="BE82" s="59">
        <f t="shared" si="699"/>
        <v>162.25747039055301</v>
      </c>
      <c r="BF82" s="62" t="e">
        <f>VLOOKUP(B82,'2022年项目库建设情况'!B:O,14,0)</f>
        <v>#N/A</v>
      </c>
      <c r="BG82" s="59" t="e">
        <f t="shared" si="700"/>
        <v>#N/A</v>
      </c>
      <c r="BH82" s="53" t="e">
        <f>ROUND(AI82+AD82+#REF!+#REF!+BE82+BG82,0)</f>
        <v>#REF!</v>
      </c>
      <c r="BI82" s="59" t="e">
        <f t="shared" si="701"/>
        <v>#REF!</v>
      </c>
      <c r="BJ82" s="167" t="e">
        <f t="shared" si="702"/>
        <v>#REF!</v>
      </c>
      <c r="BK82" s="170">
        <f t="shared" si="703"/>
        <v>6679.0736736557001</v>
      </c>
      <c r="BL82" s="59">
        <v>4529</v>
      </c>
      <c r="BM82" s="59">
        <f t="shared" si="704"/>
        <v>4112.61075160364</v>
      </c>
      <c r="BN82" s="59">
        <f t="shared" si="705"/>
        <v>2566.4629220520501</v>
      </c>
      <c r="BO82" s="43">
        <f t="shared" si="706"/>
        <v>0.624047126524509</v>
      </c>
    </row>
    <row r="83" ht="17" customHeight="1">
      <c r="A83" s="46">
        <v>51</v>
      </c>
      <c r="B83" s="82" t="s">
        <v>126</v>
      </c>
      <c r="C83" s="46" t="s">
        <v>90</v>
      </c>
      <c r="D83" s="46">
        <v>2020</v>
      </c>
      <c r="E83" s="46" t="s">
        <v>91</v>
      </c>
      <c r="F83" s="46"/>
      <c r="G83" s="73" t="e">
        <f>VLOOKUP(B:B,#REF!,2,0)</f>
        <v>#REF!</v>
      </c>
      <c r="H83" s="73" t="e">
        <f t="shared" si="685"/>
        <v>#REF!</v>
      </c>
      <c r="I83" s="59" t="e">
        <f>VLOOKUP(B83,#REF!,4,0)</f>
        <v>#REF!</v>
      </c>
      <c r="J83" s="59" t="e">
        <f>VLOOKUP(B83,#REF!,2,0)</f>
        <v>#REF!</v>
      </c>
      <c r="K83" s="73" t="e">
        <f t="shared" si="686"/>
        <v>#REF!</v>
      </c>
      <c r="L83" s="73" t="e">
        <f t="shared" si="687"/>
        <v>#REF!</v>
      </c>
      <c r="M83" s="59">
        <v>17202</v>
      </c>
      <c r="N83" s="59">
        <v>5433</v>
      </c>
      <c r="O83" s="73">
        <v>70275</v>
      </c>
      <c r="P83" s="59">
        <f t="shared" si="674"/>
        <v>70275</v>
      </c>
      <c r="Q83" s="59">
        <f t="shared" si="675"/>
        <v>0</v>
      </c>
      <c r="R83" s="59">
        <f t="shared" si="676"/>
        <v>0</v>
      </c>
      <c r="S83" s="59">
        <f t="shared" si="677"/>
        <v>0</v>
      </c>
      <c r="T83" s="59">
        <f t="shared" si="678"/>
        <v>0</v>
      </c>
      <c r="U83" s="59">
        <f t="shared" si="679"/>
        <v>70275</v>
      </c>
      <c r="V83" s="59">
        <v>3982</v>
      </c>
      <c r="W83" s="59">
        <f t="shared" ref="W83:W88" si="707">V83*1</f>
        <v>3982</v>
      </c>
      <c r="X83" s="59">
        <v>10471</v>
      </c>
      <c r="Y83" s="59">
        <f t="shared" si="689"/>
        <v>0</v>
      </c>
      <c r="Z83" s="59"/>
      <c r="AA83" s="59"/>
      <c r="AB83" s="59"/>
      <c r="AC83" s="59">
        <v>52</v>
      </c>
      <c r="AD83" s="59">
        <f t="shared" si="690"/>
        <v>3910.3852157981901</v>
      </c>
      <c r="AE83" s="59">
        <v>11381.030000000001</v>
      </c>
      <c r="AF83" s="62">
        <f t="shared" si="691"/>
        <v>0.69025273437878198</v>
      </c>
      <c r="AG83" s="62">
        <f t="shared" si="692"/>
        <v>5.12560972967652</v>
      </c>
      <c r="AH83" s="62">
        <f t="shared" ref="AH83:AH88" si="708">AG83*1</f>
        <v>5.12560972967652</v>
      </c>
      <c r="AI83" s="59">
        <f t="shared" si="694"/>
        <v>1527.8263013676401</v>
      </c>
      <c r="AJ83" s="59">
        <f t="shared" ref="AJ83:AJ88" si="709">P83</f>
        <v>70275</v>
      </c>
      <c r="AK83" s="59">
        <f t="shared" ref="AK83:AK88" si="710">AJ83/$AJ$9*2859</f>
        <v>49.996825992945404</v>
      </c>
      <c r="AL83" s="59">
        <v>3088.6799999999998</v>
      </c>
      <c r="AM83" s="59">
        <v>15</v>
      </c>
      <c r="AN83" s="62">
        <v>1</v>
      </c>
      <c r="AO83" s="59">
        <f t="shared" si="695"/>
        <v>347.88884574065298</v>
      </c>
      <c r="AP83" s="59"/>
      <c r="AQ83" s="59"/>
      <c r="AR83" s="59">
        <v>32556</v>
      </c>
      <c r="AS83" s="59">
        <f t="shared" si="696"/>
        <v>445.95488672367799</v>
      </c>
      <c r="AT83" s="189">
        <v>0.74590000000000001</v>
      </c>
      <c r="AU83" s="59">
        <f t="shared" si="697"/>
        <v>541.59907872246799</v>
      </c>
      <c r="AV83" s="59">
        <v>2</v>
      </c>
      <c r="AW83" s="59">
        <f t="shared" si="698"/>
        <v>2000</v>
      </c>
      <c r="AX83" s="59"/>
      <c r="AY83" s="62">
        <v>89.439999999999998</v>
      </c>
      <c r="AZ83" s="62" t="s">
        <v>442</v>
      </c>
      <c r="BA83" s="59">
        <v>800</v>
      </c>
      <c r="BB83" s="59" t="s">
        <v>443</v>
      </c>
      <c r="BC83" s="59"/>
      <c r="BD83" s="62">
        <v>33.713146749757897</v>
      </c>
      <c r="BE83" s="59">
        <f t="shared" si="699"/>
        <v>422.53174237581101</v>
      </c>
      <c r="BF83" s="62" t="e">
        <f>VLOOKUP(B83,'2022年项目库建设情况'!B:O,14,0)</f>
        <v>#N/A</v>
      </c>
      <c r="BG83" s="59" t="e">
        <f t="shared" si="700"/>
        <v>#N/A</v>
      </c>
      <c r="BH83" s="53" t="e">
        <f>ROUND(AI83+AD83+#REF!+#REF!+BE83+BG83,0)</f>
        <v>#REF!</v>
      </c>
      <c r="BI83" s="59" t="e">
        <f t="shared" si="701"/>
        <v>#REF!</v>
      </c>
      <c r="BJ83" s="167" t="e">
        <f t="shared" si="702"/>
        <v>#REF!</v>
      </c>
      <c r="BK83" s="170">
        <f>AD83+AI83+AO83+AP83+AS83+AU83+AW83+AX83+BA83+BC83+BE83+300</f>
        <v>10296.186070728399</v>
      </c>
      <c r="BL83" s="59">
        <v>17202</v>
      </c>
      <c r="BM83" s="59">
        <f t="shared" si="704"/>
        <v>15620.474751399001</v>
      </c>
      <c r="BN83" s="59">
        <f t="shared" si="705"/>
        <v>-5324.2886806705201</v>
      </c>
      <c r="BO83" s="43">
        <f t="shared" si="706"/>
        <v>-0.34085319207046999</v>
      </c>
    </row>
    <row r="84" ht="17" customHeight="1">
      <c r="A84" s="46">
        <v>52</v>
      </c>
      <c r="B84" s="82" t="s">
        <v>135</v>
      </c>
      <c r="C84" s="46" t="s">
        <v>78</v>
      </c>
      <c r="D84" s="46"/>
      <c r="E84" s="46"/>
      <c r="F84" s="46" t="s">
        <v>146</v>
      </c>
      <c r="G84" s="73" t="e">
        <f>VLOOKUP(B:B,#REF!,2,0)</f>
        <v>#REF!</v>
      </c>
      <c r="H84" s="73" t="e">
        <f t="shared" si="685"/>
        <v>#REF!</v>
      </c>
      <c r="I84" s="59" t="e">
        <f>VLOOKUP(B84,#REF!,4,0)</f>
        <v>#REF!</v>
      </c>
      <c r="J84" s="59" t="e">
        <f>VLOOKUP(B84,#REF!,2,0)</f>
        <v>#REF!</v>
      </c>
      <c r="K84" s="73" t="e">
        <f t="shared" si="686"/>
        <v>#REF!</v>
      </c>
      <c r="L84" s="73" t="e">
        <f t="shared" si="687"/>
        <v>#REF!</v>
      </c>
      <c r="M84" s="59">
        <v>7641</v>
      </c>
      <c r="N84" s="59">
        <v>2182</v>
      </c>
      <c r="O84" s="73">
        <v>13183</v>
      </c>
      <c r="P84" s="59">
        <f t="shared" si="674"/>
        <v>2636.5999999999999</v>
      </c>
      <c r="Q84" s="59">
        <f t="shared" si="675"/>
        <v>2636.5999999999999</v>
      </c>
      <c r="R84" s="59">
        <f t="shared" si="676"/>
        <v>0</v>
      </c>
      <c r="S84" s="59">
        <f t="shared" si="677"/>
        <v>0</v>
      </c>
      <c r="T84" s="59">
        <f t="shared" si="678"/>
        <v>0</v>
      </c>
      <c r="U84" s="59">
        <f t="shared" si="679"/>
        <v>0</v>
      </c>
      <c r="V84" s="59">
        <v>1522</v>
      </c>
      <c r="W84" s="59">
        <f>V84*0.2</f>
        <v>304.39999999999998</v>
      </c>
      <c r="X84" s="59">
        <v>3775</v>
      </c>
      <c r="Y84" s="59">
        <f t="shared" si="689"/>
        <v>0</v>
      </c>
      <c r="Z84" s="59"/>
      <c r="AA84" s="59"/>
      <c r="AB84" s="59"/>
      <c r="AC84" s="59">
        <v>24</v>
      </c>
      <c r="AD84" s="59">
        <f t="shared" si="690"/>
        <v>839.78148978944898</v>
      </c>
      <c r="AE84" s="59">
        <v>11189.58</v>
      </c>
      <c r="AF84" s="62">
        <f t="shared" si="691"/>
        <v>0.72114661563138405</v>
      </c>
      <c r="AG84" s="62">
        <f t="shared" si="692"/>
        <v>1.06044609828595</v>
      </c>
      <c r="AH84" s="62">
        <f>AG84*0.2</f>
        <v>0.21208921965718999</v>
      </c>
      <c r="AI84" s="59">
        <f t="shared" si="694"/>
        <v>63.218915430232002</v>
      </c>
      <c r="AJ84" s="59"/>
      <c r="AK84" s="59"/>
      <c r="AL84" s="59">
        <v>940.5</v>
      </c>
      <c r="AM84" s="59">
        <v>14</v>
      </c>
      <c r="AN84" s="62">
        <v>1</v>
      </c>
      <c r="AO84" s="59">
        <f t="shared" si="695"/>
        <v>105.931808869512</v>
      </c>
      <c r="AP84" s="59"/>
      <c r="AQ84" s="59"/>
      <c r="AR84" s="59">
        <v>6976</v>
      </c>
      <c r="AS84" s="59">
        <f t="shared" si="696"/>
        <v>95.557847701940602</v>
      </c>
      <c r="AT84" s="189">
        <v>0.1512</v>
      </c>
      <c r="AU84" s="59">
        <f t="shared" si="697"/>
        <v>109.786540692904</v>
      </c>
      <c r="AV84" s="59"/>
      <c r="AW84" s="59">
        <f t="shared" si="698"/>
        <v>0</v>
      </c>
      <c r="AX84" s="59"/>
      <c r="AY84" s="62">
        <v>80.019999999999996</v>
      </c>
      <c r="AZ84" s="62" t="s">
        <v>442</v>
      </c>
      <c r="BA84" s="59">
        <v>500</v>
      </c>
      <c r="BB84" s="59" t="s">
        <v>443</v>
      </c>
      <c r="BC84" s="59"/>
      <c r="BD84" s="62">
        <v>14.554467994123099</v>
      </c>
      <c r="BE84" s="59">
        <f t="shared" si="699"/>
        <v>182.41325161834601</v>
      </c>
      <c r="BF84" s="62" t="e">
        <f>VLOOKUP(B84,'2022年项目库建设情况'!B:O,14,0)</f>
        <v>#N/A</v>
      </c>
      <c r="BG84" s="59" t="e">
        <f t="shared" si="700"/>
        <v>#N/A</v>
      </c>
      <c r="BH84" s="53" t="e">
        <f>ROUND(AI84+AD84+#REF!+#REF!+BE84+BG84,0)</f>
        <v>#REF!</v>
      </c>
      <c r="BI84" s="59" t="e">
        <f t="shared" si="701"/>
        <v>#REF!</v>
      </c>
      <c r="BJ84" s="167" t="e">
        <f t="shared" si="702"/>
        <v>#REF!</v>
      </c>
      <c r="BK84" s="170">
        <f t="shared" si="703"/>
        <v>1896.68985410238</v>
      </c>
      <c r="BL84" s="59">
        <v>7641</v>
      </c>
      <c r="BM84" s="59">
        <f t="shared" si="704"/>
        <v>6938.49828946863</v>
      </c>
      <c r="BN84" s="59">
        <f t="shared" si="705"/>
        <v>-5041.8084353662498</v>
      </c>
      <c r="BO84" s="43">
        <f t="shared" si="706"/>
        <v>-0.72664259974219303</v>
      </c>
    </row>
    <row r="85" ht="17" customHeight="1">
      <c r="A85" s="46">
        <v>53</v>
      </c>
      <c r="B85" s="82" t="s">
        <v>133</v>
      </c>
      <c r="C85" s="46" t="s">
        <v>93</v>
      </c>
      <c r="D85" s="46">
        <v>2019</v>
      </c>
      <c r="E85" s="46" t="s">
        <v>94</v>
      </c>
      <c r="F85" s="46" t="s">
        <v>146</v>
      </c>
      <c r="G85" s="73" t="e">
        <f>VLOOKUP(B:B,#REF!,2,0)</f>
        <v>#REF!</v>
      </c>
      <c r="H85" s="73" t="e">
        <f t="shared" si="685"/>
        <v>#REF!</v>
      </c>
      <c r="I85" s="59" t="e">
        <f>VLOOKUP(B85,#REF!,4,0)</f>
        <v>#REF!</v>
      </c>
      <c r="J85" s="59" t="e">
        <f>VLOOKUP(B85,#REF!,2,0)</f>
        <v>#REF!</v>
      </c>
      <c r="K85" s="73" t="e">
        <f t="shared" si="686"/>
        <v>#REF!</v>
      </c>
      <c r="L85" s="73" t="e">
        <f t="shared" si="687"/>
        <v>#REF!</v>
      </c>
      <c r="M85" s="59">
        <v>22350</v>
      </c>
      <c r="N85" s="59">
        <v>3243</v>
      </c>
      <c r="O85" s="73">
        <v>111848</v>
      </c>
      <c r="P85" s="59">
        <f t="shared" si="674"/>
        <v>89478.399999999994</v>
      </c>
      <c r="Q85" s="59">
        <f t="shared" si="675"/>
        <v>0</v>
      </c>
      <c r="R85" s="59">
        <f t="shared" si="676"/>
        <v>0</v>
      </c>
      <c r="S85" s="59">
        <f t="shared" si="677"/>
        <v>0</v>
      </c>
      <c r="T85" s="59">
        <f t="shared" si="678"/>
        <v>89478.399999999994</v>
      </c>
      <c r="U85" s="59">
        <f t="shared" si="679"/>
        <v>0</v>
      </c>
      <c r="V85" s="59">
        <v>13742</v>
      </c>
      <c r="W85" s="59">
        <f t="shared" si="707"/>
        <v>13742</v>
      </c>
      <c r="X85" s="59">
        <v>12127</v>
      </c>
      <c r="Y85" s="59">
        <f t="shared" si="689"/>
        <v>0</v>
      </c>
      <c r="Z85" s="59"/>
      <c r="AA85" s="59"/>
      <c r="AB85" s="59"/>
      <c r="AC85" s="59">
        <v>1600</v>
      </c>
      <c r="AD85" s="59">
        <f t="shared" si="690"/>
        <v>7446.9951315500302</v>
      </c>
      <c r="AE85" s="59">
        <v>11857.92</v>
      </c>
      <c r="AF85" s="62">
        <f t="shared" si="691"/>
        <v>0.61329800452475602</v>
      </c>
      <c r="AG85" s="62">
        <f t="shared" si="692"/>
        <v>7.7024096388264098</v>
      </c>
      <c r="AH85" s="62">
        <f t="shared" si="708"/>
        <v>7.7024096388264098</v>
      </c>
      <c r="AI85" s="59">
        <f t="shared" si="694"/>
        <v>2295.9110526835402</v>
      </c>
      <c r="AJ85" s="59">
        <f t="shared" si="709"/>
        <v>89478.399999999994</v>
      </c>
      <c r="AK85" s="59">
        <f t="shared" si="710"/>
        <v>63.658996726106899</v>
      </c>
      <c r="AL85" s="59">
        <v>7685.3100000000004</v>
      </c>
      <c r="AM85" s="59">
        <v>42</v>
      </c>
      <c r="AN85" s="62">
        <v>0.95769451504468295</v>
      </c>
      <c r="AO85" s="59">
        <f t="shared" si="695"/>
        <v>865.62338120462505</v>
      </c>
      <c r="AP85" s="59"/>
      <c r="AQ85" s="59"/>
      <c r="AR85" s="59">
        <v>57329</v>
      </c>
      <c r="AS85" s="59">
        <f t="shared" si="696"/>
        <v>785.29757037049205</v>
      </c>
      <c r="AT85" s="189">
        <v>1.3132999999999999</v>
      </c>
      <c r="AU85" s="59">
        <f t="shared" si="697"/>
        <v>953.58904690470195</v>
      </c>
      <c r="AV85" s="59"/>
      <c r="AW85" s="59">
        <f t="shared" ref="AW85:AW87" si="711">AV85*1500</f>
        <v>0</v>
      </c>
      <c r="AX85" s="59">
        <v>6773</v>
      </c>
      <c r="AY85" s="62">
        <v>78.299999999999997</v>
      </c>
      <c r="AZ85" s="62" t="s">
        <v>440</v>
      </c>
      <c r="BA85" s="59"/>
      <c r="BB85" s="59" t="s">
        <v>441</v>
      </c>
      <c r="BC85" s="59">
        <v>1000</v>
      </c>
      <c r="BD85" s="62">
        <v>13.9207477318143</v>
      </c>
      <c r="BE85" s="59">
        <f t="shared" si="699"/>
        <v>174.47074394916399</v>
      </c>
      <c r="BF85" s="62" t="e">
        <f>VLOOKUP(B85,'2022年项目库建设情况'!B:O,14,0)</f>
        <v>#N/A</v>
      </c>
      <c r="BG85" s="59" t="e">
        <f t="shared" si="700"/>
        <v>#N/A</v>
      </c>
      <c r="BH85" s="53" t="e">
        <f>ROUND(AI85+AD85+#REF!+#REF!+BE85+BG85,0)</f>
        <v>#REF!</v>
      </c>
      <c r="BI85" s="59" t="e">
        <f t="shared" si="701"/>
        <v>#REF!</v>
      </c>
      <c r="BJ85" s="167" t="e">
        <f t="shared" si="702"/>
        <v>#REF!</v>
      </c>
      <c r="BK85" s="170">
        <f t="shared" si="703"/>
        <v>20294.886926662599</v>
      </c>
      <c r="BL85" s="59">
        <v>22350</v>
      </c>
      <c r="BM85" s="59">
        <f t="shared" si="704"/>
        <v>20295.175601311901</v>
      </c>
      <c r="BN85" s="59">
        <f t="shared" si="705"/>
        <v>-0.28867464930590397</v>
      </c>
      <c r="BO85" s="43">
        <f t="shared" si="706"/>
        <v>-1.4223806434433801e-005</v>
      </c>
    </row>
    <row r="86" ht="17" customHeight="1">
      <c r="A86" s="46">
        <v>54</v>
      </c>
      <c r="B86" s="82" t="s">
        <v>131</v>
      </c>
      <c r="C86" s="46" t="s">
        <v>93</v>
      </c>
      <c r="D86" s="46">
        <v>2019</v>
      </c>
      <c r="E86" s="46" t="s">
        <v>94</v>
      </c>
      <c r="F86" s="46"/>
      <c r="G86" s="73" t="e">
        <f>VLOOKUP(B:B,#REF!,2,0)</f>
        <v>#REF!</v>
      </c>
      <c r="H86" s="73" t="e">
        <f t="shared" si="685"/>
        <v>#REF!</v>
      </c>
      <c r="I86" s="59" t="e">
        <f>VLOOKUP(B86,#REF!,4,0)</f>
        <v>#REF!</v>
      </c>
      <c r="J86" s="59" t="e">
        <f>VLOOKUP(B86,#REF!,2,0)</f>
        <v>#REF!</v>
      </c>
      <c r="K86" s="73" t="e">
        <f t="shared" si="686"/>
        <v>#REF!</v>
      </c>
      <c r="L86" s="73" t="e">
        <f t="shared" si="687"/>
        <v>#REF!</v>
      </c>
      <c r="M86" s="59">
        <v>28609</v>
      </c>
      <c r="N86" s="59">
        <v>4050</v>
      </c>
      <c r="O86" s="73">
        <v>154382</v>
      </c>
      <c r="P86" s="59">
        <f t="shared" si="674"/>
        <v>123505.60000000001</v>
      </c>
      <c r="Q86" s="59">
        <f t="shared" si="675"/>
        <v>0</v>
      </c>
      <c r="R86" s="59">
        <f t="shared" si="676"/>
        <v>0</v>
      </c>
      <c r="S86" s="59">
        <f t="shared" si="677"/>
        <v>0</v>
      </c>
      <c r="T86" s="59">
        <f t="shared" si="678"/>
        <v>123505.60000000001</v>
      </c>
      <c r="U86" s="59">
        <f t="shared" si="679"/>
        <v>0</v>
      </c>
      <c r="V86" s="59">
        <v>15403</v>
      </c>
      <c r="W86" s="59">
        <f t="shared" si="707"/>
        <v>15403</v>
      </c>
      <c r="X86" s="59">
        <v>10660</v>
      </c>
      <c r="Y86" s="59">
        <f t="shared" si="689"/>
        <v>0</v>
      </c>
      <c r="Z86" s="59"/>
      <c r="AA86" s="59"/>
      <c r="AB86" s="59"/>
      <c r="AC86" s="59">
        <v>2988</v>
      </c>
      <c r="AD86" s="59">
        <f t="shared" si="690"/>
        <v>9217.3271740694108</v>
      </c>
      <c r="AE86" s="59">
        <v>10382.4</v>
      </c>
      <c r="AF86" s="62">
        <f t="shared" si="691"/>
        <v>0.85139954365162596</v>
      </c>
      <c r="AG86" s="62">
        <f t="shared" si="692"/>
        <v>14.4554871518891</v>
      </c>
      <c r="AH86" s="62">
        <f t="shared" si="708"/>
        <v>14.4554871518891</v>
      </c>
      <c r="AI86" s="59">
        <f t="shared" si="694"/>
        <v>4308.8480462854304</v>
      </c>
      <c r="AJ86" s="59">
        <f t="shared" si="709"/>
        <v>123505.60000000001</v>
      </c>
      <c r="AK86" s="59">
        <f t="shared" si="710"/>
        <v>87.867491886934403</v>
      </c>
      <c r="AL86" s="59">
        <v>14924.362800000001</v>
      </c>
      <c r="AM86" s="59">
        <v>36</v>
      </c>
      <c r="AN86" s="62">
        <v>1</v>
      </c>
      <c r="AO86" s="59">
        <f t="shared" si="695"/>
        <v>1680.98325106736</v>
      </c>
      <c r="AP86" s="59"/>
      <c r="AQ86" s="59"/>
      <c r="AR86" s="59">
        <v>77299</v>
      </c>
      <c r="AS86" s="59">
        <f t="shared" si="696"/>
        <v>1058.8483471204599</v>
      </c>
      <c r="AT86" s="189">
        <v>1.7203999999999999</v>
      </c>
      <c r="AU86" s="59">
        <f t="shared" si="697"/>
        <v>1249.18495111159</v>
      </c>
      <c r="AV86" s="59">
        <v>2</v>
      </c>
      <c r="AW86" s="59">
        <f t="shared" si="698"/>
        <v>2000</v>
      </c>
      <c r="AX86" s="59">
        <v>5241</v>
      </c>
      <c r="AY86" s="62">
        <v>86.939999999999998</v>
      </c>
      <c r="AZ86" s="62" t="s">
        <v>442</v>
      </c>
      <c r="BA86" s="59">
        <v>800</v>
      </c>
      <c r="BB86" s="59" t="s">
        <v>443</v>
      </c>
      <c r="BC86" s="59"/>
      <c r="BD86" s="62">
        <v>33.738911464300301</v>
      </c>
      <c r="BE86" s="59">
        <f t="shared" si="699"/>
        <v>422.85465526816802</v>
      </c>
      <c r="BF86" s="62" t="e">
        <f>VLOOKUP(B86,'2022年项目库建设情况'!B:O,14,0)</f>
        <v>#N/A</v>
      </c>
      <c r="BG86" s="59" t="e">
        <f t="shared" si="700"/>
        <v>#N/A</v>
      </c>
      <c r="BH86" s="53" t="e">
        <f>ROUND(AI86+AD86+#REF!+#REF!+BE86+BG86,0)</f>
        <v>#REF!</v>
      </c>
      <c r="BI86" s="59" t="e">
        <f t="shared" si="701"/>
        <v>#REF!</v>
      </c>
      <c r="BJ86" s="167" t="e">
        <f t="shared" si="702"/>
        <v>#REF!</v>
      </c>
      <c r="BK86" s="170">
        <f t="shared" si="703"/>
        <v>25979.046424922399</v>
      </c>
      <c r="BL86" s="59">
        <v>28609</v>
      </c>
      <c r="BM86" s="59">
        <f t="shared" si="704"/>
        <v>25978.732831227298</v>
      </c>
      <c r="BN86" s="59">
        <f t="shared" si="705"/>
        <v>0.31359369507845303</v>
      </c>
      <c r="BO86" s="43">
        <f t="shared" si="706"/>
        <v>1.2071169795529901e-005</v>
      </c>
    </row>
    <row r="87" ht="17" customHeight="1">
      <c r="A87" s="46">
        <v>55</v>
      </c>
      <c r="B87" s="82" t="s">
        <v>132</v>
      </c>
      <c r="C87" s="46" t="s">
        <v>93</v>
      </c>
      <c r="D87" s="46">
        <v>2019</v>
      </c>
      <c r="E87" s="46" t="s">
        <v>94</v>
      </c>
      <c r="F87" s="46"/>
      <c r="G87" s="73" t="e">
        <f>VLOOKUP(B:B,#REF!,2,0)</f>
        <v>#REF!</v>
      </c>
      <c r="H87" s="73" t="e">
        <f t="shared" si="685"/>
        <v>#REF!</v>
      </c>
      <c r="I87" s="59" t="e">
        <f>VLOOKUP(B87,#REF!,4,0)</f>
        <v>#REF!</v>
      </c>
      <c r="J87" s="59" t="e">
        <f>VLOOKUP(B87,#REF!,2,0)</f>
        <v>#REF!</v>
      </c>
      <c r="K87" s="73" t="e">
        <f t="shared" si="686"/>
        <v>#REF!</v>
      </c>
      <c r="L87" s="73" t="e">
        <f t="shared" si="687"/>
        <v>#REF!</v>
      </c>
      <c r="M87" s="59">
        <v>22453</v>
      </c>
      <c r="N87" s="59">
        <v>3701</v>
      </c>
      <c r="O87" s="73">
        <v>105952</v>
      </c>
      <c r="P87" s="59">
        <f t="shared" si="674"/>
        <v>84761.600000000006</v>
      </c>
      <c r="Q87" s="59">
        <f t="shared" si="675"/>
        <v>0</v>
      </c>
      <c r="R87" s="59">
        <f t="shared" si="676"/>
        <v>0</v>
      </c>
      <c r="S87" s="59">
        <f t="shared" si="677"/>
        <v>0</v>
      </c>
      <c r="T87" s="59">
        <f t="shared" si="678"/>
        <v>84761.600000000006</v>
      </c>
      <c r="U87" s="59">
        <f t="shared" si="679"/>
        <v>0</v>
      </c>
      <c r="V87" s="59">
        <v>10395</v>
      </c>
      <c r="W87" s="59">
        <f t="shared" si="707"/>
        <v>10395</v>
      </c>
      <c r="X87" s="59">
        <v>12905</v>
      </c>
      <c r="Y87" s="59">
        <f t="shared" si="689"/>
        <v>0</v>
      </c>
      <c r="Z87" s="59"/>
      <c r="AA87" s="59"/>
      <c r="AB87" s="59"/>
      <c r="AC87" s="59">
        <v>1689</v>
      </c>
      <c r="AD87" s="59">
        <f t="shared" si="690"/>
        <v>6770.0387607083503</v>
      </c>
      <c r="AE87" s="59">
        <v>10793.52</v>
      </c>
      <c r="AF87" s="62">
        <f t="shared" si="691"/>
        <v>0.78505797948045997</v>
      </c>
      <c r="AG87" s="62">
        <f t="shared" si="692"/>
        <v>9.1339140738613107</v>
      </c>
      <c r="AH87" s="62">
        <f t="shared" si="708"/>
        <v>9.1339140738613107</v>
      </c>
      <c r="AI87" s="59">
        <f t="shared" si="694"/>
        <v>2722.60958060849</v>
      </c>
      <c r="AJ87" s="59">
        <f t="shared" si="709"/>
        <v>84761.600000000006</v>
      </c>
      <c r="AK87" s="59">
        <f t="shared" si="710"/>
        <v>60.303251029294003</v>
      </c>
      <c r="AL87" s="59">
        <v>8815.4799999999996</v>
      </c>
      <c r="AM87" s="59">
        <v>9</v>
      </c>
      <c r="AN87" s="62">
        <v>0.88889332481635297</v>
      </c>
      <c r="AO87" s="59">
        <f t="shared" si="695"/>
        <v>992.91838644657798</v>
      </c>
      <c r="AP87" s="59"/>
      <c r="AQ87" s="59"/>
      <c r="AR87" s="59">
        <v>54881</v>
      </c>
      <c r="AS87" s="59">
        <f t="shared" si="696"/>
        <v>751.76465592462796</v>
      </c>
      <c r="AT87" s="189">
        <v>1.1412</v>
      </c>
      <c r="AU87" s="59">
        <f t="shared" si="697"/>
        <v>828.62698570596694</v>
      </c>
      <c r="AV87" s="59">
        <v>2</v>
      </c>
      <c r="AW87" s="59">
        <f t="shared" si="698"/>
        <v>2000</v>
      </c>
      <c r="AX87" s="59">
        <v>5150</v>
      </c>
      <c r="AY87" s="62">
        <v>78.390000000000001</v>
      </c>
      <c r="AZ87" s="62" t="s">
        <v>440</v>
      </c>
      <c r="BA87" s="59"/>
      <c r="BB87" s="59" t="s">
        <v>441</v>
      </c>
      <c r="BC87" s="59">
        <v>1000</v>
      </c>
      <c r="BD87" s="62">
        <v>13.800947320093901</v>
      </c>
      <c r="BE87" s="59">
        <f t="shared" si="699"/>
        <v>172.969268068633</v>
      </c>
      <c r="BF87" s="62" t="e">
        <f>VLOOKUP(B87,'2022年项目库建设情况'!B:O,14,0)</f>
        <v>#N/A</v>
      </c>
      <c r="BG87" s="59" t="e">
        <f t="shared" si="700"/>
        <v>#N/A</v>
      </c>
      <c r="BH87" s="53" t="e">
        <f>ROUND(AI87+AD87+#REF!+#REF!+BE87+BG87,0)</f>
        <v>#REF!</v>
      </c>
      <c r="BI87" s="59" t="e">
        <f t="shared" si="701"/>
        <v>#REF!</v>
      </c>
      <c r="BJ87" s="167" t="e">
        <f t="shared" si="702"/>
        <v>#REF!</v>
      </c>
      <c r="BK87" s="170">
        <f t="shared" si="703"/>
        <v>20388.927637462599</v>
      </c>
      <c r="BL87" s="59">
        <v>22453</v>
      </c>
      <c r="BM87" s="59">
        <f t="shared" si="704"/>
        <v>20388.705940772099</v>
      </c>
      <c r="BN87" s="59">
        <f t="shared" si="705"/>
        <v>0.22169669059803701</v>
      </c>
      <c r="BO87" s="43">
        <f t="shared" si="706"/>
        <v>1.08735047355164e-005</v>
      </c>
    </row>
    <row r="88" ht="17" customHeight="1">
      <c r="A88" s="46">
        <v>56</v>
      </c>
      <c r="B88" s="82" t="s">
        <v>134</v>
      </c>
      <c r="C88" s="46" t="s">
        <v>93</v>
      </c>
      <c r="D88" s="46">
        <v>2019</v>
      </c>
      <c r="E88" s="46" t="s">
        <v>94</v>
      </c>
      <c r="F88" s="46" t="s">
        <v>146</v>
      </c>
      <c r="G88" s="73" t="e">
        <f>VLOOKUP(B:B,#REF!,2,0)</f>
        <v>#REF!</v>
      </c>
      <c r="H88" s="73" t="e">
        <f t="shared" si="685"/>
        <v>#REF!</v>
      </c>
      <c r="I88" s="59" t="e">
        <f>VLOOKUP(B88,#REF!,4,0)</f>
        <v>#REF!</v>
      </c>
      <c r="J88" s="59" t="e">
        <f>VLOOKUP(B88,#REF!,2,0)</f>
        <v>#REF!</v>
      </c>
      <c r="K88" s="73" t="e">
        <f t="shared" si="686"/>
        <v>#REF!</v>
      </c>
      <c r="L88" s="73" t="e">
        <f t="shared" si="687"/>
        <v>#REF!</v>
      </c>
      <c r="M88" s="59">
        <v>20706</v>
      </c>
      <c r="N88" s="59">
        <v>4482</v>
      </c>
      <c r="O88" s="73">
        <v>97676</v>
      </c>
      <c r="P88" s="59">
        <f t="shared" si="674"/>
        <v>78140.800000000003</v>
      </c>
      <c r="Q88" s="59">
        <f t="shared" si="675"/>
        <v>0</v>
      </c>
      <c r="R88" s="59">
        <f t="shared" si="676"/>
        <v>0</v>
      </c>
      <c r="S88" s="59">
        <f t="shared" si="677"/>
        <v>0</v>
      </c>
      <c r="T88" s="59">
        <f t="shared" si="678"/>
        <v>78140.800000000003</v>
      </c>
      <c r="U88" s="59">
        <f t="shared" si="679"/>
        <v>0</v>
      </c>
      <c r="V88" s="59">
        <v>8288</v>
      </c>
      <c r="W88" s="59">
        <f t="shared" si="707"/>
        <v>8288</v>
      </c>
      <c r="X88" s="59">
        <v>10686</v>
      </c>
      <c r="Y88" s="59">
        <f t="shared" si="689"/>
        <v>0</v>
      </c>
      <c r="Z88" s="59"/>
      <c r="AA88" s="59"/>
      <c r="AB88" s="59"/>
      <c r="AC88" s="59">
        <v>662</v>
      </c>
      <c r="AD88" s="59">
        <f t="shared" si="690"/>
        <v>5677.1627035886804</v>
      </c>
      <c r="AE88" s="59">
        <v>11451.93</v>
      </c>
      <c r="AF88" s="62">
        <f t="shared" si="691"/>
        <v>0.67881175145473105</v>
      </c>
      <c r="AG88" s="62">
        <f t="shared" si="692"/>
        <v>7.1929608431149203</v>
      </c>
      <c r="AH88" s="62">
        <f t="shared" si="708"/>
        <v>7.1929608431149203</v>
      </c>
      <c r="AI88" s="59">
        <f t="shared" si="694"/>
        <v>2144.05609096425</v>
      </c>
      <c r="AJ88" s="59">
        <f t="shared" si="709"/>
        <v>78140.800000000003</v>
      </c>
      <c r="AK88" s="59">
        <f t="shared" si="710"/>
        <v>55.592913277119102</v>
      </c>
      <c r="AL88" s="59">
        <v>15608.370000000001</v>
      </c>
      <c r="AM88" s="59">
        <v>36</v>
      </c>
      <c r="AN88" s="62">
        <v>1</v>
      </c>
      <c r="AO88" s="59">
        <f t="shared" si="695"/>
        <v>1758.0253775700401</v>
      </c>
      <c r="AP88" s="59">
        <v>3000</v>
      </c>
      <c r="AQ88" s="59"/>
      <c r="AR88" s="59">
        <v>46485</v>
      </c>
      <c r="AS88" s="59">
        <f t="shared" si="696"/>
        <v>636.75552615033098</v>
      </c>
      <c r="AT88" s="189">
        <v>1.1055999999999999</v>
      </c>
      <c r="AU88" s="59">
        <f t="shared" si="697"/>
        <v>802.77777374388097</v>
      </c>
      <c r="AV88" s="59"/>
      <c r="AW88" s="59">
        <f t="shared" si="698"/>
        <v>0</v>
      </c>
      <c r="AX88" s="59">
        <v>4619</v>
      </c>
      <c r="AY88" s="62">
        <v>78.180000000000007</v>
      </c>
      <c r="AZ88" s="62" t="s">
        <v>440</v>
      </c>
      <c r="BA88" s="59"/>
      <c r="BB88" s="59" t="s">
        <v>443</v>
      </c>
      <c r="BC88" s="59"/>
      <c r="BD88" s="62">
        <v>13.126529901800399</v>
      </c>
      <c r="BE88" s="59">
        <f t="shared" si="699"/>
        <v>164.51669705960401</v>
      </c>
      <c r="BF88" s="62" t="e">
        <f>VLOOKUP(B88,'2022年项目库建设情况'!B:O,14,0)</f>
        <v>#N/A</v>
      </c>
      <c r="BG88" s="59" t="e">
        <f t="shared" si="700"/>
        <v>#N/A</v>
      </c>
      <c r="BH88" s="53" t="e">
        <f>ROUND(AI88+AD88+#REF!+#REF!+BE88+BG88,0)</f>
        <v>#REF!</v>
      </c>
      <c r="BI88" s="59" t="e">
        <f t="shared" si="701"/>
        <v>#REF!</v>
      </c>
      <c r="BJ88" s="167" t="e">
        <f t="shared" si="702"/>
        <v>#REF!</v>
      </c>
      <c r="BK88" s="170">
        <f t="shared" si="703"/>
        <v>18802.294169076798</v>
      </c>
      <c r="BL88" s="59">
        <v>20706</v>
      </c>
      <c r="BM88" s="59">
        <f t="shared" si="704"/>
        <v>18802.322416141498</v>
      </c>
      <c r="BN88" s="59">
        <f t="shared" si="705"/>
        <v>-2.8247064761671901e-002</v>
      </c>
      <c r="BO88" s="43">
        <f t="shared" si="706"/>
        <v>-1.50231785927797e-006</v>
      </c>
    </row>
    <row r="89" s="64" customFormat="1" ht="17" customHeight="1">
      <c r="A89" s="65"/>
      <c r="B89" s="66" t="s">
        <v>136</v>
      </c>
      <c r="C89" s="67">
        <v>1</v>
      </c>
      <c r="D89" s="67"/>
      <c r="E89" s="67"/>
      <c r="F89" s="68"/>
      <c r="G89" s="69" t="e">
        <f t="shared" ref="G89:M89" si="712">G90+G91</f>
        <v>#REF!</v>
      </c>
      <c r="H89" s="69" t="e">
        <f t="shared" si="712"/>
        <v>#REF!</v>
      </c>
      <c r="I89" s="69" t="e">
        <f t="shared" si="712"/>
        <v>#REF!</v>
      </c>
      <c r="J89" s="69" t="e">
        <f t="shared" si="712"/>
        <v>#REF!</v>
      </c>
      <c r="K89" s="69" t="e">
        <f t="shared" si="712"/>
        <v>#REF!</v>
      </c>
      <c r="L89" s="69" t="e">
        <f t="shared" si="712"/>
        <v>#REF!</v>
      </c>
      <c r="M89" s="69">
        <f t="shared" si="712"/>
        <v>116433</v>
      </c>
      <c r="N89" s="69">
        <v>21161</v>
      </c>
      <c r="O89" s="69">
        <f t="shared" ref="O89:AD89" si="713">O90+O91</f>
        <v>573982</v>
      </c>
      <c r="P89" s="69">
        <f t="shared" si="713"/>
        <v>469160.59999999998</v>
      </c>
      <c r="Q89" s="69">
        <f t="shared" si="713"/>
        <v>0</v>
      </c>
      <c r="R89" s="69">
        <f t="shared" si="713"/>
        <v>0</v>
      </c>
      <c r="S89" s="69">
        <f t="shared" si="713"/>
        <v>54529.800000000003</v>
      </c>
      <c r="T89" s="69">
        <f t="shared" si="713"/>
        <v>273872.79999999999</v>
      </c>
      <c r="U89" s="69">
        <f t="shared" si="713"/>
        <v>140758</v>
      </c>
      <c r="V89" s="69">
        <f t="shared" si="713"/>
        <v>70367</v>
      </c>
      <c r="W89" s="69">
        <f t="shared" si="713"/>
        <v>63934.5</v>
      </c>
      <c r="X89" s="69">
        <f t="shared" si="713"/>
        <v>37005</v>
      </c>
      <c r="Y89" s="69">
        <f t="shared" si="713"/>
        <v>9161</v>
      </c>
      <c r="Z89" s="69">
        <f t="shared" si="713"/>
        <v>9161</v>
      </c>
      <c r="AA89" s="69">
        <f t="shared" si="713"/>
        <v>0</v>
      </c>
      <c r="AB89" s="69">
        <f t="shared" si="713"/>
        <v>0</v>
      </c>
      <c r="AC89" s="69">
        <f t="shared" si="713"/>
        <v>10586</v>
      </c>
      <c r="AD89" s="69">
        <f t="shared" si="713"/>
        <v>35070.7487258416</v>
      </c>
      <c r="AE89" s="69"/>
      <c r="AF89" s="69">
        <f t="shared" ref="AF89:AL89" si="714">AF90+AF91</f>
        <v>3.9161048374864098</v>
      </c>
      <c r="AG89" s="69">
        <f t="shared" si="714"/>
        <v>32.265686311001097</v>
      </c>
      <c r="AH89" s="69">
        <f t="shared" si="714"/>
        <v>29.5466655301258</v>
      </c>
      <c r="AI89" s="69">
        <f t="shared" si="714"/>
        <v>8807.1810175621504</v>
      </c>
      <c r="AJ89" s="69">
        <f t="shared" si="714"/>
        <v>389059.40000000002</v>
      </c>
      <c r="AK89" s="69">
        <f t="shared" si="714"/>
        <v>276.79452326886798</v>
      </c>
      <c r="AL89" s="69">
        <f t="shared" si="714"/>
        <v>27284.931400000001</v>
      </c>
      <c r="AM89" s="69">
        <v>244</v>
      </c>
      <c r="AN89" s="71">
        <v>7.8111382952869404</v>
      </c>
      <c r="AO89" s="69">
        <f t="shared" ref="AO89:BA89" si="715">AO90+AO91</f>
        <v>3073.1973823312601</v>
      </c>
      <c r="AP89" s="69">
        <f t="shared" si="715"/>
        <v>3000</v>
      </c>
      <c r="AQ89" s="69"/>
      <c r="AR89" s="69">
        <f t="shared" si="715"/>
        <v>331530</v>
      </c>
      <c r="AS89" s="69">
        <f t="shared" si="715"/>
        <v>4541.3264404564798</v>
      </c>
      <c r="AT89" s="69">
        <f t="shared" si="715"/>
        <v>5.4500000000000002</v>
      </c>
      <c r="AU89" s="69">
        <f t="shared" si="715"/>
        <v>3957.2529548698899</v>
      </c>
      <c r="AV89" s="69">
        <f t="shared" si="715"/>
        <v>8</v>
      </c>
      <c r="AW89" s="69">
        <f t="shared" si="715"/>
        <v>8000</v>
      </c>
      <c r="AX89" s="69">
        <f t="shared" si="715"/>
        <v>16338</v>
      </c>
      <c r="AY89" s="69">
        <f t="shared" si="715"/>
        <v>609.00999999999999</v>
      </c>
      <c r="AZ89" s="69">
        <f t="shared" si="715"/>
        <v>0</v>
      </c>
      <c r="BA89" s="69">
        <f t="shared" si="715"/>
        <v>2900</v>
      </c>
      <c r="BB89" s="69"/>
      <c r="BC89" s="69">
        <f t="shared" ref="BC89:BK89" si="716">BC90+BC91</f>
        <v>2800</v>
      </c>
      <c r="BD89" s="71">
        <f t="shared" si="716"/>
        <v>150.12972337384801</v>
      </c>
      <c r="BE89" s="69">
        <f t="shared" si="716"/>
        <v>1881.5975284183701</v>
      </c>
      <c r="BF89" s="71" t="e">
        <f t="shared" si="716"/>
        <v>#N/A</v>
      </c>
      <c r="BG89" s="69" t="e">
        <f t="shared" si="716"/>
        <v>#N/A</v>
      </c>
      <c r="BH89" s="70" t="e">
        <f t="shared" si="716"/>
        <v>#REF!</v>
      </c>
      <c r="BI89" s="70" t="e">
        <f t="shared" si="716"/>
        <v>#REF!</v>
      </c>
      <c r="BJ89" s="183" t="e">
        <f t="shared" si="716"/>
        <v>#REF!</v>
      </c>
      <c r="BK89" s="184">
        <f t="shared" si="716"/>
        <v>90369.304049479804</v>
      </c>
      <c r="BL89" s="69">
        <v>116433</v>
      </c>
      <c r="BM89" s="184">
        <f>BM90+BM91</f>
        <v>105728.330236579</v>
      </c>
      <c r="BN89" s="184">
        <f>BN90+BN91</f>
        <v>-15359.0261870994</v>
      </c>
      <c r="BO89" s="43">
        <f t="shared" si="706"/>
        <v>-0.14526878607400501</v>
      </c>
      <c r="BP89" s="185"/>
    </row>
    <row r="90" s="5" customFormat="1" ht="17" customHeight="1">
      <c r="A90" s="44"/>
      <c r="B90" s="72" t="s">
        <v>137</v>
      </c>
      <c r="C90" s="46">
        <v>2</v>
      </c>
      <c r="D90" s="46"/>
      <c r="E90" s="46"/>
      <c r="F90" s="46"/>
      <c r="G90" s="73"/>
      <c r="H90" s="73"/>
      <c r="I90" s="73"/>
      <c r="J90" s="73"/>
      <c r="K90" s="73"/>
      <c r="L90" s="73"/>
      <c r="M90" s="73"/>
      <c r="N90" s="73"/>
      <c r="O90" s="73"/>
      <c r="P90" s="59">
        <f t="shared" ref="P90:P99" si="717">SUM(Q90:U90)</f>
        <v>0</v>
      </c>
      <c r="Q90" s="59">
        <f t="shared" ref="Q90:Q99" si="718">IF(D90="",O90*0.2,0)</f>
        <v>0</v>
      </c>
      <c r="R90" s="59">
        <f t="shared" ref="R90:R99" si="719">IF(D90=2017,O90*0.4,0)</f>
        <v>0</v>
      </c>
      <c r="S90" s="59">
        <f t="shared" ref="S90:S99" si="720">IF(D90=2018,O90*0.6,0)</f>
        <v>0</v>
      </c>
      <c r="T90" s="59">
        <f t="shared" ref="T90:T99" si="721">IF(D90=2019,O90*0.8,0)</f>
        <v>0</v>
      </c>
      <c r="U90" s="59">
        <f t="shared" ref="U90:U99" si="722">IF(D90=2020,O90*1,0)</f>
        <v>0</v>
      </c>
      <c r="V90" s="59"/>
      <c r="W90" s="59"/>
      <c r="X90" s="59"/>
      <c r="Y90" s="59">
        <f>T90*0.4+U90*0.6+V90*0.8+X90*1</f>
        <v>0</v>
      </c>
      <c r="Z90" s="59"/>
      <c r="AA90" s="59"/>
      <c r="AB90" s="59"/>
      <c r="AC90" s="59"/>
      <c r="AD90" s="59"/>
      <c r="AE90" s="59"/>
      <c r="AF90" s="62"/>
      <c r="AG90" s="62"/>
      <c r="AH90" s="62"/>
      <c r="AI90" s="59"/>
      <c r="AJ90" s="59"/>
      <c r="AK90" s="59"/>
      <c r="AL90" s="59"/>
      <c r="AM90" s="59"/>
      <c r="AN90" s="62"/>
      <c r="AO90" s="59"/>
      <c r="AP90" s="59"/>
      <c r="AQ90" s="59"/>
      <c r="AR90" s="59"/>
      <c r="AS90" s="59"/>
      <c r="AT90" s="59"/>
      <c r="AU90" s="59"/>
      <c r="AV90" s="59"/>
      <c r="AW90" s="59"/>
      <c r="AX90" s="59"/>
      <c r="AY90" s="62"/>
      <c r="AZ90" s="62"/>
      <c r="BA90" s="59"/>
      <c r="BB90" s="59"/>
      <c r="BC90" s="59"/>
      <c r="BD90" s="62"/>
      <c r="BE90" s="59"/>
      <c r="BF90" s="62"/>
      <c r="BG90" s="59"/>
      <c r="BH90" s="53"/>
      <c r="BI90" s="59"/>
      <c r="BJ90" s="182"/>
      <c r="BK90" s="170"/>
      <c r="BL90" s="73"/>
      <c r="BM90" s="170"/>
      <c r="BN90" s="50"/>
      <c r="BO90" s="43"/>
      <c r="BP90" s="4"/>
    </row>
    <row r="91" s="74" customFormat="1" ht="17" customHeight="1">
      <c r="A91" s="75"/>
      <c r="B91" s="76" t="s">
        <v>76</v>
      </c>
      <c r="C91" s="77">
        <v>3</v>
      </c>
      <c r="D91" s="77"/>
      <c r="E91" s="77"/>
      <c r="F91" s="78"/>
      <c r="G91" s="79" t="e">
        <f t="shared" ref="G91:M91" si="723">SUM(G92:G99)</f>
        <v>#REF!</v>
      </c>
      <c r="H91" s="79" t="e">
        <f t="shared" si="723"/>
        <v>#REF!</v>
      </c>
      <c r="I91" s="79" t="e">
        <f t="shared" si="723"/>
        <v>#REF!</v>
      </c>
      <c r="J91" s="79" t="e">
        <f t="shared" si="723"/>
        <v>#REF!</v>
      </c>
      <c r="K91" s="79" t="e">
        <f t="shared" si="723"/>
        <v>#REF!</v>
      </c>
      <c r="L91" s="79" t="e">
        <f t="shared" si="723"/>
        <v>#REF!</v>
      </c>
      <c r="M91" s="79">
        <f t="shared" si="723"/>
        <v>116433</v>
      </c>
      <c r="N91" s="79">
        <v>21161</v>
      </c>
      <c r="O91" s="79">
        <f t="shared" ref="O91:AD91" si="724">SUM(O92:O99)</f>
        <v>573982</v>
      </c>
      <c r="P91" s="79">
        <f t="shared" si="724"/>
        <v>469160.59999999998</v>
      </c>
      <c r="Q91" s="79">
        <f t="shared" si="724"/>
        <v>0</v>
      </c>
      <c r="R91" s="79">
        <f t="shared" si="724"/>
        <v>0</v>
      </c>
      <c r="S91" s="79">
        <f t="shared" si="724"/>
        <v>54529.800000000003</v>
      </c>
      <c r="T91" s="79">
        <f t="shared" si="724"/>
        <v>273872.79999999999</v>
      </c>
      <c r="U91" s="79">
        <f t="shared" si="724"/>
        <v>140758</v>
      </c>
      <c r="V91" s="79">
        <f t="shared" si="724"/>
        <v>70367</v>
      </c>
      <c r="W91" s="79">
        <f t="shared" si="724"/>
        <v>63934.5</v>
      </c>
      <c r="X91" s="79">
        <f t="shared" si="724"/>
        <v>37005</v>
      </c>
      <c r="Y91" s="79">
        <f t="shared" si="724"/>
        <v>9161</v>
      </c>
      <c r="Z91" s="79">
        <f t="shared" si="724"/>
        <v>9161</v>
      </c>
      <c r="AA91" s="79">
        <f t="shared" si="724"/>
        <v>0</v>
      </c>
      <c r="AB91" s="79">
        <f t="shared" si="724"/>
        <v>0</v>
      </c>
      <c r="AC91" s="79">
        <f t="shared" si="724"/>
        <v>10586</v>
      </c>
      <c r="AD91" s="79">
        <f t="shared" si="724"/>
        <v>35070.7487258416</v>
      </c>
      <c r="AE91" s="79"/>
      <c r="AF91" s="79">
        <f t="shared" ref="AF91:AL91" si="725">SUM(AF92:AF99)</f>
        <v>3.9161048374864098</v>
      </c>
      <c r="AG91" s="79">
        <f t="shared" si="725"/>
        <v>32.265686311001097</v>
      </c>
      <c r="AH91" s="79">
        <f t="shared" si="725"/>
        <v>29.5466655301258</v>
      </c>
      <c r="AI91" s="79">
        <f t="shared" si="725"/>
        <v>8807.1810175621504</v>
      </c>
      <c r="AJ91" s="79">
        <f t="shared" si="725"/>
        <v>389059.40000000002</v>
      </c>
      <c r="AK91" s="79">
        <f t="shared" si="725"/>
        <v>276.79452326886798</v>
      </c>
      <c r="AL91" s="79">
        <f t="shared" si="725"/>
        <v>27284.931400000001</v>
      </c>
      <c r="AM91" s="79">
        <v>244</v>
      </c>
      <c r="AN91" s="81">
        <v>7.8111382952869404</v>
      </c>
      <c r="AO91" s="79">
        <f t="shared" ref="AO91:BA91" si="726">SUM(AO92:AO99)</f>
        <v>3073.1973823312601</v>
      </c>
      <c r="AP91" s="79">
        <f t="shared" si="726"/>
        <v>3000</v>
      </c>
      <c r="AQ91" s="79"/>
      <c r="AR91" s="79">
        <f t="shared" si="726"/>
        <v>331530</v>
      </c>
      <c r="AS91" s="79">
        <f t="shared" si="726"/>
        <v>4541.3264404564798</v>
      </c>
      <c r="AT91" s="79">
        <f t="shared" si="726"/>
        <v>5.4500000000000002</v>
      </c>
      <c r="AU91" s="79">
        <f t="shared" si="726"/>
        <v>3957.2529548698899</v>
      </c>
      <c r="AV91" s="79">
        <f t="shared" si="726"/>
        <v>8</v>
      </c>
      <c r="AW91" s="79">
        <f t="shared" si="726"/>
        <v>8000</v>
      </c>
      <c r="AX91" s="79">
        <f t="shared" si="726"/>
        <v>16338</v>
      </c>
      <c r="AY91" s="79">
        <f t="shared" si="726"/>
        <v>609.00999999999999</v>
      </c>
      <c r="AZ91" s="79">
        <f t="shared" si="726"/>
        <v>0</v>
      </c>
      <c r="BA91" s="79">
        <f t="shared" si="726"/>
        <v>2900</v>
      </c>
      <c r="BB91" s="79"/>
      <c r="BC91" s="79">
        <f t="shared" ref="BC91:BK91" si="727">SUM(BC92:BC99)</f>
        <v>2800</v>
      </c>
      <c r="BD91" s="81">
        <f t="shared" si="727"/>
        <v>150.12972337384801</v>
      </c>
      <c r="BE91" s="79">
        <f t="shared" si="727"/>
        <v>1881.5975284183701</v>
      </c>
      <c r="BF91" s="81" t="e">
        <f t="shared" si="727"/>
        <v>#N/A</v>
      </c>
      <c r="BG91" s="79" t="e">
        <f t="shared" si="727"/>
        <v>#N/A</v>
      </c>
      <c r="BH91" s="80" t="e">
        <f t="shared" si="727"/>
        <v>#REF!</v>
      </c>
      <c r="BI91" s="80" t="e">
        <f t="shared" si="727"/>
        <v>#REF!</v>
      </c>
      <c r="BJ91" s="186" t="e">
        <f t="shared" si="727"/>
        <v>#REF!</v>
      </c>
      <c r="BK91" s="187">
        <f t="shared" si="727"/>
        <v>90369.304049479804</v>
      </c>
      <c r="BL91" s="79">
        <v>116433</v>
      </c>
      <c r="BM91" s="187">
        <f>SUM(BM92:BM99)</f>
        <v>105728.330236579</v>
      </c>
      <c r="BN91" s="187">
        <f>SUM(BN92:BN99)</f>
        <v>-15359.0261870994</v>
      </c>
      <c r="BO91" s="43">
        <f t="shared" si="706"/>
        <v>-0.14526878607400501</v>
      </c>
      <c r="BP91" s="188"/>
    </row>
    <row r="92" ht="17" customHeight="1">
      <c r="A92" s="46">
        <v>57</v>
      </c>
      <c r="B92" s="82" t="s">
        <v>138</v>
      </c>
      <c r="C92" s="46" t="s">
        <v>90</v>
      </c>
      <c r="D92" s="46">
        <v>2019</v>
      </c>
      <c r="E92" s="46"/>
      <c r="F92" s="46"/>
      <c r="G92" s="73" t="e">
        <f>VLOOKUP(B:B,#REF!,2,0)</f>
        <v>#REF!</v>
      </c>
      <c r="H92" s="73" t="e">
        <f t="shared" ref="H92:H99" si="728">G92*299423/381298.76</f>
        <v>#REF!</v>
      </c>
      <c r="I92" s="59" t="e">
        <f>VLOOKUP(B92,#REF!,4,0)</f>
        <v>#REF!</v>
      </c>
      <c r="J92" s="59" t="e">
        <f>VLOOKUP(B92,#REF!,2,0)</f>
        <v>#REF!</v>
      </c>
      <c r="K92" s="73" t="e">
        <f t="shared" ref="K92:K99" si="729">I92*1485211/1408452</f>
        <v>#REF!</v>
      </c>
      <c r="L92" s="73" t="e">
        <f t="shared" ref="L92:L99" si="730">J92*1485211/1408452</f>
        <v>#REF!</v>
      </c>
      <c r="M92" s="59">
        <v>5577</v>
      </c>
      <c r="N92" s="59">
        <v>1140</v>
      </c>
      <c r="O92" s="73">
        <v>56067</v>
      </c>
      <c r="P92" s="59">
        <f t="shared" si="717"/>
        <v>44853.599999999999</v>
      </c>
      <c r="Q92" s="59">
        <f t="shared" si="718"/>
        <v>0</v>
      </c>
      <c r="R92" s="59">
        <f t="shared" si="719"/>
        <v>0</v>
      </c>
      <c r="S92" s="59">
        <f t="shared" si="720"/>
        <v>0</v>
      </c>
      <c r="T92" s="59">
        <f t="shared" si="721"/>
        <v>44853.599999999999</v>
      </c>
      <c r="U92" s="59">
        <f t="shared" si="722"/>
        <v>0</v>
      </c>
      <c r="V92" s="59">
        <v>6906</v>
      </c>
      <c r="W92" s="59">
        <f t="shared" ref="W92:W93" si="731">V92*0.5</f>
        <v>3453</v>
      </c>
      <c r="X92" s="59">
        <v>4466</v>
      </c>
      <c r="Y92" s="59">
        <f t="shared" ref="Y92:Y99" si="732">Z92+AA92+AB92*1.2</f>
        <v>0</v>
      </c>
      <c r="Z92" s="59"/>
      <c r="AA92" s="59"/>
      <c r="AB92" s="59"/>
      <c r="AC92" s="59">
        <v>726</v>
      </c>
      <c r="AD92" s="59">
        <f t="shared" ref="AD92:AD99" si="733">O92/$O$9*202299+W92/$W$9*134866+AC92/$AC$9*34867+X92/$X$9*100000</f>
        <v>2940.5054659136099</v>
      </c>
      <c r="AE92" s="59">
        <v>13445.76</v>
      </c>
      <c r="AF92" s="62">
        <f t="shared" ref="AF92:AF99" si="734">($AE$64-AE92)/($AE$64-$AE$44)</f>
        <v>0.35707162474866999</v>
      </c>
      <c r="AG92" s="62">
        <f t="shared" ref="AG92:AG99" si="735">(O92+V92)*AF92/10000</f>
        <v>2.2485871425298001</v>
      </c>
      <c r="AH92" s="62">
        <f t="shared" ref="AH92:AH93" si="736">AG92*0.5</f>
        <v>1.1242935712649</v>
      </c>
      <c r="AI92" s="59">
        <f t="shared" ref="AI92:AI99" si="737">AH92/$AH$9*1348663*0.1</f>
        <v>335.126039482034</v>
      </c>
      <c r="AJ92" s="59"/>
      <c r="AK92" s="59"/>
      <c r="AL92" s="59">
        <v>1575.53</v>
      </c>
      <c r="AM92" s="59">
        <v>51</v>
      </c>
      <c r="AN92" s="62">
        <v>0.97284504235176905</v>
      </c>
      <c r="AO92" s="59">
        <f t="shared" ref="AO92:AO99" si="738">(AL92/$AL$9*80000)</f>
        <v>177.45746180561699</v>
      </c>
      <c r="AP92" s="59"/>
      <c r="AQ92" s="59"/>
      <c r="AR92" s="59">
        <v>30734</v>
      </c>
      <c r="AS92" s="59">
        <f t="shared" ref="AS92:AS99" si="739">AR92/$AR$9*50000</f>
        <v>420.99697409280998</v>
      </c>
      <c r="AT92" s="189">
        <v>0.55000000000000004</v>
      </c>
      <c r="AU92" s="59">
        <f t="shared" ref="AU92:AU99" si="740">AT92/$AT$9*50000</f>
        <v>399.355802785035</v>
      </c>
      <c r="AV92" s="59">
        <v>1</v>
      </c>
      <c r="AW92" s="59">
        <f t="shared" si="698"/>
        <v>1000</v>
      </c>
      <c r="AX92" s="59"/>
      <c r="AY92" s="62">
        <v>72.709999999999994</v>
      </c>
      <c r="AZ92" s="62" t="s">
        <v>440</v>
      </c>
      <c r="BA92" s="59"/>
      <c r="BB92" s="59" t="s">
        <v>441</v>
      </c>
      <c r="BC92" s="59">
        <v>800</v>
      </c>
      <c r="BD92" s="62">
        <v>0.120014257338505</v>
      </c>
      <c r="BE92" s="59">
        <f t="shared" ref="BE92:BE99" si="741">BD92/$BD$9*42266</f>
        <v>1.50415603857986</v>
      </c>
      <c r="BF92" s="62" t="e">
        <f>VLOOKUP(B92,'2022年项目库建设情况'!B:O,14,0)</f>
        <v>#N/A</v>
      </c>
      <c r="BG92" s="59" t="e">
        <f t="shared" ref="BG92:BG99" si="742">BF92/$BF$9*1348663*0.025</f>
        <v>#N/A</v>
      </c>
      <c r="BH92" s="53" t="e">
        <f>ROUND(AI92+AD92+#REF!+#REF!+BE92+BG92,0)</f>
        <v>#REF!</v>
      </c>
      <c r="BI92" s="59" t="e">
        <f t="shared" ref="BI92:BI99" si="743">N92-G92</f>
        <v>#REF!</v>
      </c>
      <c r="BJ92" s="167" t="e">
        <f t="shared" ref="BJ92:BJ99" si="744">BI92/G92</f>
        <v>#REF!</v>
      </c>
      <c r="BK92" s="170">
        <f t="shared" ref="BK92:BK99" si="745">AD92+AI92+AO92+AP92+AS92+AU92+AW92+AX92+BA92+BC92+BE92</f>
        <v>6074.9459001176801</v>
      </c>
      <c r="BL92" s="59">
        <v>5577</v>
      </c>
      <c r="BM92" s="59">
        <f t="shared" ref="BM92:BM99" si="746">BL92/$BL$9*1348663</f>
        <v>5064.2592540723199</v>
      </c>
      <c r="BN92" s="59">
        <f t="shared" ref="BN92:BN99" si="747">BK92-BM92</f>
        <v>1010.68664604537</v>
      </c>
      <c r="BO92" s="43">
        <f t="shared" si="706"/>
        <v>0.19957245380608099</v>
      </c>
    </row>
    <row r="93" s="5" customFormat="1" ht="17" customHeight="1">
      <c r="A93" s="46">
        <v>58</v>
      </c>
      <c r="B93" s="82" t="s">
        <v>139</v>
      </c>
      <c r="C93" s="46" t="s">
        <v>90</v>
      </c>
      <c r="D93" s="46">
        <v>2018</v>
      </c>
      <c r="E93" s="46"/>
      <c r="F93" s="46"/>
      <c r="G93" s="73" t="e">
        <f>VLOOKUP(B:B,#REF!,2,0)</f>
        <v>#REF!</v>
      </c>
      <c r="H93" s="73" t="e">
        <f t="shared" si="728"/>
        <v>#REF!</v>
      </c>
      <c r="I93" s="59" t="e">
        <f>VLOOKUP(B93,#REF!,4,0)</f>
        <v>#REF!</v>
      </c>
      <c r="J93" s="59" t="e">
        <f>VLOOKUP(B93,#REF!,2,0)</f>
        <v>#REF!</v>
      </c>
      <c r="K93" s="73" t="e">
        <f t="shared" si="729"/>
        <v>#REF!</v>
      </c>
      <c r="L93" s="73" t="e">
        <f t="shared" si="730"/>
        <v>#REF!</v>
      </c>
      <c r="M93" s="59">
        <v>4982</v>
      </c>
      <c r="N93" s="59">
        <v>855</v>
      </c>
      <c r="O93" s="73">
        <v>58746</v>
      </c>
      <c r="P93" s="59">
        <f t="shared" si="717"/>
        <v>35247.599999999999</v>
      </c>
      <c r="Q93" s="59">
        <f t="shared" si="718"/>
        <v>0</v>
      </c>
      <c r="R93" s="59">
        <f t="shared" si="719"/>
        <v>0</v>
      </c>
      <c r="S93" s="59">
        <f t="shared" si="720"/>
        <v>35247.599999999999</v>
      </c>
      <c r="T93" s="59">
        <f t="shared" si="721"/>
        <v>0</v>
      </c>
      <c r="U93" s="59">
        <f t="shared" si="722"/>
        <v>0</v>
      </c>
      <c r="V93" s="59">
        <v>5959</v>
      </c>
      <c r="W93" s="59">
        <f t="shared" si="731"/>
        <v>2979.5</v>
      </c>
      <c r="X93" s="59">
        <v>2491</v>
      </c>
      <c r="Y93" s="59">
        <f t="shared" si="732"/>
        <v>0</v>
      </c>
      <c r="Z93" s="59"/>
      <c r="AA93" s="59"/>
      <c r="AB93" s="59"/>
      <c r="AC93" s="59">
        <v>1056</v>
      </c>
      <c r="AD93" s="59">
        <f t="shared" si="733"/>
        <v>2817.26776751335</v>
      </c>
      <c r="AE93" s="59">
        <v>12603.889999999999</v>
      </c>
      <c r="AF93" s="62">
        <f t="shared" si="734"/>
        <v>0.49292240463964998</v>
      </c>
      <c r="AG93" s="62">
        <f t="shared" si="735"/>
        <v>3.18945441922085</v>
      </c>
      <c r="AH93" s="62">
        <f t="shared" si="736"/>
        <v>1.5947272096104299</v>
      </c>
      <c r="AI93" s="59">
        <f t="shared" si="737"/>
        <v>475.351480672175</v>
      </c>
      <c r="AJ93" s="59"/>
      <c r="AK93" s="59"/>
      <c r="AL93" s="59">
        <v>1123.76</v>
      </c>
      <c r="AM93" s="59">
        <v>24</v>
      </c>
      <c r="AN93" s="62">
        <v>1</v>
      </c>
      <c r="AO93" s="59">
        <f t="shared" si="738"/>
        <v>126.573024492507</v>
      </c>
      <c r="AP93" s="59"/>
      <c r="AQ93" s="59"/>
      <c r="AR93" s="59">
        <v>34142</v>
      </c>
      <c r="AS93" s="59">
        <f t="shared" si="739"/>
        <v>467.68005106646501</v>
      </c>
      <c r="AT93" s="189">
        <v>0.60999999999999999</v>
      </c>
      <c r="AU93" s="59">
        <f t="shared" si="740"/>
        <v>442.92189036158402</v>
      </c>
      <c r="AV93" s="59">
        <v>1</v>
      </c>
      <c r="AW93" s="59">
        <f t="shared" si="698"/>
        <v>1000</v>
      </c>
      <c r="AX93" s="59"/>
      <c r="AY93" s="62">
        <v>81.730000000000004</v>
      </c>
      <c r="AZ93" s="62" t="s">
        <v>442</v>
      </c>
      <c r="BA93" s="59">
        <v>500</v>
      </c>
      <c r="BB93" s="59" t="s">
        <v>443</v>
      </c>
      <c r="BC93" s="59"/>
      <c r="BD93" s="62">
        <v>0.14041899580610101</v>
      </c>
      <c r="BE93" s="59">
        <f t="shared" si="741"/>
        <v>1.75989157585949</v>
      </c>
      <c r="BF93" s="62" t="e">
        <f>VLOOKUP(B93,'2022年项目库建设情况'!B:O,14,0)</f>
        <v>#N/A</v>
      </c>
      <c r="BG93" s="59" t="e">
        <f t="shared" si="742"/>
        <v>#N/A</v>
      </c>
      <c r="BH93" s="53" t="e">
        <f>ROUND(AI93+AD93+#REF!+#REF!+BE93+BG93,0)</f>
        <v>#REF!</v>
      </c>
      <c r="BI93" s="59" t="e">
        <f t="shared" si="743"/>
        <v>#REF!</v>
      </c>
      <c r="BJ93" s="182" t="e">
        <f t="shared" si="744"/>
        <v>#REF!</v>
      </c>
      <c r="BK93" s="170">
        <f t="shared" si="745"/>
        <v>5831.5541056819402</v>
      </c>
      <c r="BL93" s="59">
        <v>4982</v>
      </c>
      <c r="BM93" s="59">
        <f t="shared" si="746"/>
        <v>4523.9626329188204</v>
      </c>
      <c r="BN93" s="59">
        <f t="shared" si="747"/>
        <v>1307.59147276311</v>
      </c>
      <c r="BO93" s="43">
        <f t="shared" si="706"/>
        <v>0.28903675358597403</v>
      </c>
      <c r="BP93" s="4"/>
    </row>
    <row r="94" ht="17" customHeight="1">
      <c r="A94" s="46">
        <v>59</v>
      </c>
      <c r="B94" s="82" t="s">
        <v>140</v>
      </c>
      <c r="C94" s="46" t="s">
        <v>90</v>
      </c>
      <c r="D94" s="46">
        <v>2018</v>
      </c>
      <c r="E94" s="46" t="s">
        <v>91</v>
      </c>
      <c r="F94" s="46"/>
      <c r="G94" s="73" t="e">
        <f>VLOOKUP(B:B,#REF!,2,0)</f>
        <v>#REF!</v>
      </c>
      <c r="H94" s="73" t="e">
        <f t="shared" si="728"/>
        <v>#REF!</v>
      </c>
      <c r="I94" s="59" t="e">
        <f>VLOOKUP(B94,#REF!,4,0)</f>
        <v>#REF!</v>
      </c>
      <c r="J94" s="59" t="e">
        <f>VLOOKUP(B94,#REF!,2,0)</f>
        <v>#REF!</v>
      </c>
      <c r="K94" s="73" t="e">
        <f t="shared" si="729"/>
        <v>#REF!</v>
      </c>
      <c r="L94" s="73" t="e">
        <f t="shared" si="730"/>
        <v>#REF!</v>
      </c>
      <c r="M94" s="59">
        <v>7599</v>
      </c>
      <c r="N94" s="59">
        <v>860</v>
      </c>
      <c r="O94" s="73">
        <v>32137</v>
      </c>
      <c r="P94" s="59">
        <f t="shared" si="717"/>
        <v>19282.200000000001</v>
      </c>
      <c r="Q94" s="59">
        <f t="shared" si="718"/>
        <v>0</v>
      </c>
      <c r="R94" s="59">
        <f t="shared" si="719"/>
        <v>0</v>
      </c>
      <c r="S94" s="59">
        <f t="shared" si="720"/>
        <v>19282.200000000001</v>
      </c>
      <c r="T94" s="59">
        <f t="shared" si="721"/>
        <v>0</v>
      </c>
      <c r="U94" s="59">
        <f t="shared" si="722"/>
        <v>0</v>
      </c>
      <c r="V94" s="59">
        <v>5031</v>
      </c>
      <c r="W94" s="59">
        <f t="shared" ref="W94:W99" si="748">V94*1</f>
        <v>5031</v>
      </c>
      <c r="X94" s="59">
        <v>3630</v>
      </c>
      <c r="Y94" s="59">
        <f t="shared" si="732"/>
        <v>0</v>
      </c>
      <c r="Z94" s="59"/>
      <c r="AA94" s="59"/>
      <c r="AB94" s="59"/>
      <c r="AC94" s="59">
        <v>941</v>
      </c>
      <c r="AD94" s="59">
        <f t="shared" si="733"/>
        <v>2461.13381812941</v>
      </c>
      <c r="AE94" s="59">
        <v>13268.620000000001</v>
      </c>
      <c r="AF94" s="62">
        <f t="shared" si="734"/>
        <v>0.38565633159163598</v>
      </c>
      <c r="AG94" s="62">
        <f t="shared" si="735"/>
        <v>1.43340745325979</v>
      </c>
      <c r="AH94" s="62">
        <f t="shared" ref="AH94:AH99" si="749">AG94*1</f>
        <v>1.43340745325979</v>
      </c>
      <c r="AI94" s="59">
        <f t="shared" si="737"/>
        <v>427.26577386236801</v>
      </c>
      <c r="AJ94" s="59">
        <f t="shared" ref="AJ94:AJ99" si="750">P94</f>
        <v>19282.200000000001</v>
      </c>
      <c r="AK94" s="59">
        <f t="shared" ref="AK94:AK99" si="751">AJ94/$AJ$9*2859</f>
        <v>13.7182326312511</v>
      </c>
      <c r="AL94" s="59">
        <v>3668.9470000000001</v>
      </c>
      <c r="AM94" s="59">
        <v>15</v>
      </c>
      <c r="AN94" s="62">
        <v>0.99443899247628398</v>
      </c>
      <c r="AO94" s="59">
        <f t="shared" si="738"/>
        <v>413.24635019284398</v>
      </c>
      <c r="AP94" s="59"/>
      <c r="AQ94" s="59"/>
      <c r="AR94" s="59">
        <v>19086</v>
      </c>
      <c r="AS94" s="59">
        <f t="shared" si="739"/>
        <v>261.44166875562502</v>
      </c>
      <c r="AT94" s="189">
        <v>0.32000000000000001</v>
      </c>
      <c r="AU94" s="59">
        <f t="shared" si="740"/>
        <v>232.352467074929</v>
      </c>
      <c r="AV94" s="59">
        <v>2</v>
      </c>
      <c r="AW94" s="59">
        <f t="shared" si="698"/>
        <v>2000</v>
      </c>
      <c r="AX94" s="59"/>
      <c r="AY94" s="62">
        <v>66.230000000000004</v>
      </c>
      <c r="AZ94" s="62" t="s">
        <v>440</v>
      </c>
      <c r="BA94" s="59"/>
      <c r="BB94" s="59" t="s">
        <v>443</v>
      </c>
      <c r="BC94" s="59"/>
      <c r="BD94" s="62">
        <v>33.185364279662899</v>
      </c>
      <c r="BE94" s="59">
        <f t="shared" si="741"/>
        <v>415.91696837266198</v>
      </c>
      <c r="BF94" s="62" t="e">
        <f>VLOOKUP(B94,'2022年项目库建设情况'!B:O,14,0)</f>
        <v>#N/A</v>
      </c>
      <c r="BG94" s="59" t="e">
        <f t="shared" si="742"/>
        <v>#N/A</v>
      </c>
      <c r="BH94" s="53" t="e">
        <f>ROUND(AI94+AD94+#REF!+#REF!+BE94+BG94,0)</f>
        <v>#REF!</v>
      </c>
      <c r="BI94" s="59" t="e">
        <f t="shared" si="743"/>
        <v>#REF!</v>
      </c>
      <c r="BJ94" s="167" t="e">
        <f t="shared" si="744"/>
        <v>#REF!</v>
      </c>
      <c r="BK94" s="170">
        <f t="shared" si="745"/>
        <v>6211.3570463878395</v>
      </c>
      <c r="BL94" s="59">
        <v>7599</v>
      </c>
      <c r="BM94" s="59">
        <f t="shared" si="746"/>
        <v>6900.3597044460403</v>
      </c>
      <c r="BN94" s="59">
        <f t="shared" si="747"/>
        <v>-689.00265805819299</v>
      </c>
      <c r="BO94" s="43">
        <f t="shared" si="706"/>
        <v>-9.9850252388184305e-002</v>
      </c>
    </row>
    <row r="95" ht="17" customHeight="1">
      <c r="A95" s="46">
        <v>60</v>
      </c>
      <c r="B95" s="82" t="s">
        <v>141</v>
      </c>
      <c r="C95" s="46" t="s">
        <v>90</v>
      </c>
      <c r="D95" s="46">
        <v>2019</v>
      </c>
      <c r="E95" s="46" t="s">
        <v>91</v>
      </c>
      <c r="F95" s="46" t="s">
        <v>146</v>
      </c>
      <c r="G95" s="73" t="e">
        <f>VLOOKUP(B:B,#REF!,2,0)</f>
        <v>#REF!</v>
      </c>
      <c r="H95" s="73" t="e">
        <f t="shared" si="728"/>
        <v>#REF!</v>
      </c>
      <c r="I95" s="59" t="e">
        <f>VLOOKUP(B95,#REF!,4,0)</f>
        <v>#REF!</v>
      </c>
      <c r="J95" s="59" t="e">
        <f>VLOOKUP(B95,#REF!,2,0)</f>
        <v>#REF!</v>
      </c>
      <c r="K95" s="73" t="e">
        <f t="shared" si="729"/>
        <v>#REF!</v>
      </c>
      <c r="L95" s="73" t="e">
        <f t="shared" si="730"/>
        <v>#REF!</v>
      </c>
      <c r="M95" s="59">
        <v>20371</v>
      </c>
      <c r="N95" s="59">
        <v>2540</v>
      </c>
      <c r="O95" s="73">
        <v>68883</v>
      </c>
      <c r="P95" s="59">
        <f t="shared" si="717"/>
        <v>55106.400000000001</v>
      </c>
      <c r="Q95" s="59">
        <f t="shared" si="718"/>
        <v>0</v>
      </c>
      <c r="R95" s="59">
        <f t="shared" si="719"/>
        <v>0</v>
      </c>
      <c r="S95" s="59">
        <f t="shared" si="720"/>
        <v>0</v>
      </c>
      <c r="T95" s="59">
        <f t="shared" si="721"/>
        <v>55106.400000000001</v>
      </c>
      <c r="U95" s="59">
        <f t="shared" si="722"/>
        <v>0</v>
      </c>
      <c r="V95" s="59">
        <v>3634</v>
      </c>
      <c r="W95" s="59">
        <f t="shared" si="748"/>
        <v>3634</v>
      </c>
      <c r="X95" s="59">
        <v>3291</v>
      </c>
      <c r="Y95" s="59">
        <f t="shared" si="732"/>
        <v>0</v>
      </c>
      <c r="Z95" s="59"/>
      <c r="AA95" s="59"/>
      <c r="AB95" s="59"/>
      <c r="AC95" s="59">
        <v>1830</v>
      </c>
      <c r="AD95" s="59">
        <f t="shared" si="733"/>
        <v>3505.4758039185499</v>
      </c>
      <c r="AE95" s="59">
        <v>14061.77</v>
      </c>
      <c r="AF95" s="62">
        <f t="shared" si="734"/>
        <v>0.25766739497371299</v>
      </c>
      <c r="AG95" s="62">
        <f t="shared" si="735"/>
        <v>1.86852664813088</v>
      </c>
      <c r="AH95" s="62">
        <f t="shared" si="749"/>
        <v>1.86852664813088</v>
      </c>
      <c r="AI95" s="59">
        <f t="shared" si="737"/>
        <v>556.96479216743705</v>
      </c>
      <c r="AJ95" s="59">
        <f t="shared" si="750"/>
        <v>55106.400000000001</v>
      </c>
      <c r="AK95" s="59">
        <f t="shared" si="751"/>
        <v>39.205195188867201</v>
      </c>
      <c r="AL95" s="59">
        <v>2349.203</v>
      </c>
      <c r="AM95" s="59">
        <v>19</v>
      </c>
      <c r="AN95" s="62">
        <v>1</v>
      </c>
      <c r="AO95" s="59">
        <f t="shared" si="738"/>
        <v>264.59896139466701</v>
      </c>
      <c r="AP95" s="59"/>
      <c r="AQ95" s="59"/>
      <c r="AR95" s="59">
        <v>37504</v>
      </c>
      <c r="AS95" s="59">
        <f t="shared" si="739"/>
        <v>513.73301608566203</v>
      </c>
      <c r="AT95" s="189">
        <v>0.58999999999999997</v>
      </c>
      <c r="AU95" s="59">
        <f t="shared" si="740"/>
        <v>428.39986116940099</v>
      </c>
      <c r="AV95" s="59"/>
      <c r="AW95" s="59">
        <f t="shared" si="698"/>
        <v>0</v>
      </c>
      <c r="AX95" s="59"/>
      <c r="AY95" s="62">
        <v>80.780000000000001</v>
      </c>
      <c r="AZ95" s="62" t="s">
        <v>442</v>
      </c>
      <c r="BA95" s="59">
        <v>800</v>
      </c>
      <c r="BB95" s="59" t="s">
        <v>443</v>
      </c>
      <c r="BC95" s="59"/>
      <c r="BD95" s="62">
        <v>13.5224419703778</v>
      </c>
      <c r="BE95" s="59">
        <f t="shared" si="741"/>
        <v>169.478720255046</v>
      </c>
      <c r="BF95" s="62" t="e">
        <f>VLOOKUP(B95,'2022年项目库建设情况'!B:O,14,0)</f>
        <v>#N/A</v>
      </c>
      <c r="BG95" s="59" t="e">
        <f t="shared" si="742"/>
        <v>#N/A</v>
      </c>
      <c r="BH95" s="53" t="e">
        <f>ROUND(AI95+AD95+#REF!+#REF!+BE95+BG95,0)</f>
        <v>#REF!</v>
      </c>
      <c r="BI95" s="59" t="e">
        <f t="shared" si="743"/>
        <v>#REF!</v>
      </c>
      <c r="BJ95" s="167" t="e">
        <f t="shared" si="744"/>
        <v>#REF!</v>
      </c>
      <c r="BK95" s="170">
        <f t="shared" si="745"/>
        <v>6238.65115499076</v>
      </c>
      <c r="BL95" s="59">
        <v>20371</v>
      </c>
      <c r="BM95" s="59">
        <f t="shared" si="746"/>
        <v>18498.121797508898</v>
      </c>
      <c r="BN95" s="59">
        <f t="shared" si="747"/>
        <v>-12259.470642518099</v>
      </c>
      <c r="BO95" s="43">
        <f t="shared" si="706"/>
        <v>-0.66274137324412596</v>
      </c>
    </row>
    <row r="96" ht="17" customHeight="1">
      <c r="A96" s="46">
        <v>61</v>
      </c>
      <c r="B96" s="82" t="s">
        <v>142</v>
      </c>
      <c r="C96" s="46" t="s">
        <v>93</v>
      </c>
      <c r="D96" s="46">
        <v>2019</v>
      </c>
      <c r="E96" s="46" t="s">
        <v>94</v>
      </c>
      <c r="F96" s="46" t="s">
        <v>146</v>
      </c>
      <c r="G96" s="73" t="e">
        <f>VLOOKUP(B:B,#REF!,2,0)</f>
        <v>#REF!</v>
      </c>
      <c r="H96" s="73" t="e">
        <f t="shared" si="728"/>
        <v>#REF!</v>
      </c>
      <c r="I96" s="59" t="e">
        <f>VLOOKUP(B96,#REF!,4,0)</f>
        <v>#REF!</v>
      </c>
      <c r="J96" s="59" t="e">
        <f>VLOOKUP(B96,#REF!,2,0)</f>
        <v>#REF!</v>
      </c>
      <c r="K96" s="73" t="e">
        <f t="shared" si="729"/>
        <v>#REF!</v>
      </c>
      <c r="L96" s="73" t="e">
        <f t="shared" si="730"/>
        <v>#REF!</v>
      </c>
      <c r="M96" s="59">
        <v>17592</v>
      </c>
      <c r="N96" s="59">
        <v>2289</v>
      </c>
      <c r="O96" s="73">
        <v>83326</v>
      </c>
      <c r="P96" s="59">
        <f t="shared" si="717"/>
        <v>66660.800000000003</v>
      </c>
      <c r="Q96" s="59">
        <f t="shared" si="718"/>
        <v>0</v>
      </c>
      <c r="R96" s="59">
        <f t="shared" si="719"/>
        <v>0</v>
      </c>
      <c r="S96" s="59">
        <f t="shared" si="720"/>
        <v>0</v>
      </c>
      <c r="T96" s="59">
        <f t="shared" si="721"/>
        <v>66660.800000000003</v>
      </c>
      <c r="U96" s="59">
        <f t="shared" si="722"/>
        <v>0</v>
      </c>
      <c r="V96" s="59">
        <v>13090</v>
      </c>
      <c r="W96" s="59">
        <f t="shared" si="748"/>
        <v>13090</v>
      </c>
      <c r="X96" s="59">
        <v>4689</v>
      </c>
      <c r="Y96" s="59">
        <f t="shared" si="732"/>
        <v>3027</v>
      </c>
      <c r="Z96" s="59">
        <v>3027</v>
      </c>
      <c r="AA96" s="59"/>
      <c r="AB96" s="59"/>
      <c r="AC96" s="59">
        <v>2613</v>
      </c>
      <c r="AD96" s="59">
        <f t="shared" si="733"/>
        <v>5956.2054129957296</v>
      </c>
      <c r="AE96" s="59">
        <v>11158.030000000001</v>
      </c>
      <c r="AF96" s="62">
        <f t="shared" si="734"/>
        <v>0.72623777234864495</v>
      </c>
      <c r="AG96" s="62">
        <f t="shared" si="735"/>
        <v>7.0020941058766999</v>
      </c>
      <c r="AH96" s="62">
        <f t="shared" si="749"/>
        <v>7.0020941058766999</v>
      </c>
      <c r="AI96" s="59">
        <f t="shared" si="737"/>
        <v>2087.16310913608</v>
      </c>
      <c r="AJ96" s="59">
        <f t="shared" si="750"/>
        <v>66660.800000000003</v>
      </c>
      <c r="AK96" s="59">
        <f t="shared" si="751"/>
        <v>47.4255200021421</v>
      </c>
      <c r="AL96" s="59">
        <v>9406.4346000000005</v>
      </c>
      <c r="AM96" s="59">
        <v>34</v>
      </c>
      <c r="AN96" s="62">
        <v>1</v>
      </c>
      <c r="AO96" s="59">
        <f t="shared" si="738"/>
        <v>1059.4796727174501</v>
      </c>
      <c r="AP96" s="59"/>
      <c r="AQ96" s="59"/>
      <c r="AR96" s="59">
        <v>52334</v>
      </c>
      <c r="AS96" s="59">
        <f t="shared" si="739"/>
        <v>716.87563096808503</v>
      </c>
      <c r="AT96" s="189">
        <v>0.84999999999999998</v>
      </c>
      <c r="AU96" s="59">
        <f t="shared" si="740"/>
        <v>617.18624066778102</v>
      </c>
      <c r="AV96" s="59"/>
      <c r="AW96" s="59">
        <f>AV96*1500</f>
        <v>0</v>
      </c>
      <c r="AX96" s="59">
        <v>4536</v>
      </c>
      <c r="AY96" s="62">
        <v>81.069999999999993</v>
      </c>
      <c r="AZ96" s="62" t="s">
        <v>442</v>
      </c>
      <c r="BA96" s="59">
        <v>800</v>
      </c>
      <c r="BB96" s="59" t="s">
        <v>443</v>
      </c>
      <c r="BC96" s="59"/>
      <c r="BD96" s="62">
        <v>16.119557598414399</v>
      </c>
      <c r="BE96" s="59">
        <f t="shared" si="741"/>
        <v>202.028745905607</v>
      </c>
      <c r="BF96" s="62" t="e">
        <f>VLOOKUP(B96,'2022年项目库建设情况'!B:O,14,0)</f>
        <v>#N/A</v>
      </c>
      <c r="BG96" s="59" t="e">
        <f t="shared" si="742"/>
        <v>#N/A</v>
      </c>
      <c r="BH96" s="53" t="e">
        <f>ROUND(AI96+AD96+#REF!+#REF!+BE96+BG96,0)</f>
        <v>#REF!</v>
      </c>
      <c r="BI96" s="59" t="e">
        <f t="shared" si="743"/>
        <v>#REF!</v>
      </c>
      <c r="BJ96" s="167" t="e">
        <f t="shared" si="744"/>
        <v>#REF!</v>
      </c>
      <c r="BK96" s="170">
        <f t="shared" si="745"/>
        <v>15974.938812390699</v>
      </c>
      <c r="BL96" s="59">
        <v>17592</v>
      </c>
      <c r="BM96" s="59">
        <f t="shared" si="746"/>
        <v>15974.6187551802</v>
      </c>
      <c r="BN96" s="59">
        <f t="shared" si="747"/>
        <v>0.32005721048699298</v>
      </c>
      <c r="BO96" s="43">
        <f t="shared" si="706"/>
        <v>2.0035358301318201e-005</v>
      </c>
    </row>
    <row r="97" ht="17" customHeight="1">
      <c r="A97" s="46">
        <v>62</v>
      </c>
      <c r="B97" s="82" t="s">
        <v>143</v>
      </c>
      <c r="C97" s="46" t="s">
        <v>90</v>
      </c>
      <c r="D97" s="46">
        <v>2019</v>
      </c>
      <c r="E97" s="46" t="s">
        <v>91</v>
      </c>
      <c r="F97" s="46"/>
      <c r="G97" s="73" t="e">
        <f>VLOOKUP(B:B,#REF!,2,0)</f>
        <v>#REF!</v>
      </c>
      <c r="H97" s="73" t="e">
        <f t="shared" si="728"/>
        <v>#REF!</v>
      </c>
      <c r="I97" s="59" t="e">
        <f>VLOOKUP(B97,#REF!,4,0)</f>
        <v>#REF!</v>
      </c>
      <c r="J97" s="59" t="e">
        <f>VLOOKUP(B97,#REF!,2,0)</f>
        <v>#REF!</v>
      </c>
      <c r="K97" s="73" t="e">
        <f t="shared" si="729"/>
        <v>#REF!</v>
      </c>
      <c r="L97" s="73" t="e">
        <f t="shared" si="730"/>
        <v>#REF!</v>
      </c>
      <c r="M97" s="59">
        <v>12906</v>
      </c>
      <c r="N97" s="59">
        <v>1458</v>
      </c>
      <c r="O97" s="73">
        <v>72985</v>
      </c>
      <c r="P97" s="59">
        <f t="shared" si="717"/>
        <v>58388</v>
      </c>
      <c r="Q97" s="59">
        <f t="shared" si="718"/>
        <v>0</v>
      </c>
      <c r="R97" s="59">
        <f t="shared" si="719"/>
        <v>0</v>
      </c>
      <c r="S97" s="59">
        <f t="shared" si="720"/>
        <v>0</v>
      </c>
      <c r="T97" s="59">
        <f t="shared" si="721"/>
        <v>58388</v>
      </c>
      <c r="U97" s="59">
        <f t="shared" si="722"/>
        <v>0</v>
      </c>
      <c r="V97" s="59">
        <v>10766</v>
      </c>
      <c r="W97" s="59">
        <f t="shared" si="748"/>
        <v>10766</v>
      </c>
      <c r="X97" s="59">
        <v>3714</v>
      </c>
      <c r="Y97" s="59">
        <f t="shared" si="732"/>
        <v>0</v>
      </c>
      <c r="Z97" s="59"/>
      <c r="AA97" s="59"/>
      <c r="AB97" s="59"/>
      <c r="AC97" s="59">
        <v>1723</v>
      </c>
      <c r="AD97" s="59">
        <f t="shared" si="733"/>
        <v>4919.1122846951803</v>
      </c>
      <c r="AE97" s="59">
        <v>11824.01</v>
      </c>
      <c r="AF97" s="62">
        <f t="shared" si="734"/>
        <v>0.61876998944654005</v>
      </c>
      <c r="AG97" s="62">
        <f t="shared" si="735"/>
        <v>5.1822605386137202</v>
      </c>
      <c r="AH97" s="62">
        <f t="shared" si="749"/>
        <v>5.1822605386137202</v>
      </c>
      <c r="AI97" s="59">
        <f t="shared" si="737"/>
        <v>1544.7126037692601</v>
      </c>
      <c r="AJ97" s="59">
        <f t="shared" si="750"/>
        <v>58388</v>
      </c>
      <c r="AK97" s="59">
        <f t="shared" si="751"/>
        <v>41.539874437226501</v>
      </c>
      <c r="AL97" s="59">
        <v>2098.23</v>
      </c>
      <c r="AM97" s="59">
        <v>46</v>
      </c>
      <c r="AN97" s="62">
        <v>1</v>
      </c>
      <c r="AO97" s="59">
        <f t="shared" si="738"/>
        <v>236.33099343357401</v>
      </c>
      <c r="AP97" s="59"/>
      <c r="AQ97" s="59"/>
      <c r="AR97" s="59">
        <v>40198</v>
      </c>
      <c r="AS97" s="59">
        <f t="shared" si="739"/>
        <v>550.63565967927298</v>
      </c>
      <c r="AT97" s="189">
        <v>0.76000000000000001</v>
      </c>
      <c r="AU97" s="59">
        <f t="shared" si="740"/>
        <v>551.83710930295695</v>
      </c>
      <c r="AV97" s="59">
        <v>2</v>
      </c>
      <c r="AW97" s="59">
        <f t="shared" si="698"/>
        <v>2000</v>
      </c>
      <c r="AX97" s="59"/>
      <c r="AY97" s="62">
        <v>81.140000000000001</v>
      </c>
      <c r="AZ97" s="62" t="s">
        <v>442</v>
      </c>
      <c r="BA97" s="59">
        <v>800</v>
      </c>
      <c r="BB97" s="59" t="s">
        <v>443</v>
      </c>
      <c r="BC97" s="59"/>
      <c r="BD97" s="62">
        <v>32.753724692466598</v>
      </c>
      <c r="BE97" s="59">
        <f t="shared" si="741"/>
        <v>410.507167020976</v>
      </c>
      <c r="BF97" s="62" t="e">
        <f>VLOOKUP(B97,'2022年项目库建设情况'!B:O,14,0)</f>
        <v>#N/A</v>
      </c>
      <c r="BG97" s="59" t="e">
        <f t="shared" si="742"/>
        <v>#N/A</v>
      </c>
      <c r="BH97" s="53" t="e">
        <f>ROUND(AI97+AD97+#REF!+#REF!+BE97+BG97,0)</f>
        <v>#REF!</v>
      </c>
      <c r="BI97" s="59" t="e">
        <f t="shared" si="743"/>
        <v>#REF!</v>
      </c>
      <c r="BJ97" s="167" t="e">
        <f t="shared" si="744"/>
        <v>#REF!</v>
      </c>
      <c r="BK97" s="170">
        <f t="shared" si="745"/>
        <v>11013.1358179012</v>
      </c>
      <c r="BL97" s="59">
        <v>12906</v>
      </c>
      <c r="BM97" s="59">
        <f t="shared" si="746"/>
        <v>11719.4423405159</v>
      </c>
      <c r="BN97" s="59">
        <f t="shared" si="747"/>
        <v>-706.30652261470095</v>
      </c>
      <c r="BO97" s="43">
        <f t="shared" si="706"/>
        <v>-6.0267929317156202e-002</v>
      </c>
    </row>
    <row r="98" s="5" customFormat="1" ht="17" customHeight="1">
      <c r="A98" s="46">
        <v>63</v>
      </c>
      <c r="B98" s="82" t="s">
        <v>144</v>
      </c>
      <c r="C98" s="46" t="s">
        <v>93</v>
      </c>
      <c r="D98" s="46">
        <v>2020</v>
      </c>
      <c r="E98" s="46" t="s">
        <v>94</v>
      </c>
      <c r="F98" s="46"/>
      <c r="G98" s="73" t="e">
        <f>VLOOKUP(B:B,#REF!,2,0)</f>
        <v>#REF!</v>
      </c>
      <c r="H98" s="73" t="e">
        <f t="shared" si="728"/>
        <v>#REF!</v>
      </c>
      <c r="I98" s="59" t="e">
        <f>VLOOKUP(B98,#REF!,4,0)</f>
        <v>#REF!</v>
      </c>
      <c r="J98" s="59" t="e">
        <f>VLOOKUP(B98,#REF!,2,0)</f>
        <v>#REF!</v>
      </c>
      <c r="K98" s="73" t="e">
        <f t="shared" si="729"/>
        <v>#REF!</v>
      </c>
      <c r="L98" s="73" t="e">
        <f t="shared" si="730"/>
        <v>#REF!</v>
      </c>
      <c r="M98" s="59">
        <v>35170</v>
      </c>
      <c r="N98" s="59">
        <v>10474</v>
      </c>
      <c r="O98" s="73">
        <v>140758</v>
      </c>
      <c r="P98" s="59">
        <f t="shared" si="717"/>
        <v>140758</v>
      </c>
      <c r="Q98" s="59">
        <f t="shared" si="718"/>
        <v>0</v>
      </c>
      <c r="R98" s="59">
        <f t="shared" si="719"/>
        <v>0</v>
      </c>
      <c r="S98" s="59">
        <f t="shared" si="720"/>
        <v>0</v>
      </c>
      <c r="T98" s="59">
        <f t="shared" si="721"/>
        <v>0</v>
      </c>
      <c r="U98" s="59">
        <f t="shared" si="722"/>
        <v>140758</v>
      </c>
      <c r="V98" s="59">
        <v>20841</v>
      </c>
      <c r="W98" s="59">
        <f t="shared" si="748"/>
        <v>20841</v>
      </c>
      <c r="X98" s="59">
        <v>9715</v>
      </c>
      <c r="Y98" s="59">
        <f t="shared" si="732"/>
        <v>6134</v>
      </c>
      <c r="Z98" s="59">
        <v>6134</v>
      </c>
      <c r="AA98" s="59"/>
      <c r="AB98" s="59"/>
      <c r="AC98" s="59">
        <v>0</v>
      </c>
      <c r="AD98" s="59">
        <f t="shared" si="733"/>
        <v>8971.5809495945105</v>
      </c>
      <c r="AE98" s="59">
        <v>12885.940000000001</v>
      </c>
      <c r="AF98" s="62">
        <f t="shared" si="734"/>
        <v>0.44740859316252002</v>
      </c>
      <c r="AG98" s="62">
        <f t="shared" si="735"/>
        <v>7.2300781246470098</v>
      </c>
      <c r="AH98" s="62">
        <f t="shared" si="749"/>
        <v>7.2300781246470098</v>
      </c>
      <c r="AI98" s="59">
        <f t="shared" si="737"/>
        <v>2155.1198983844001</v>
      </c>
      <c r="AJ98" s="59">
        <f t="shared" si="750"/>
        <v>140758</v>
      </c>
      <c r="AK98" s="59">
        <f t="shared" si="751"/>
        <v>100.141632630594</v>
      </c>
      <c r="AL98" s="59">
        <v>5026.9567999999999</v>
      </c>
      <c r="AM98" s="59">
        <v>34</v>
      </c>
      <c r="AN98" s="62">
        <v>0.85943204868154199</v>
      </c>
      <c r="AO98" s="59">
        <f t="shared" si="738"/>
        <v>566.203750061557</v>
      </c>
      <c r="AP98" s="59">
        <v>3000</v>
      </c>
      <c r="AQ98" s="59"/>
      <c r="AR98" s="59">
        <v>85530</v>
      </c>
      <c r="AS98" s="59">
        <f t="shared" si="739"/>
        <v>1171.59729271029</v>
      </c>
      <c r="AT98" s="189">
        <v>1.1599999999999999</v>
      </c>
      <c r="AU98" s="59">
        <f t="shared" si="740"/>
        <v>842.27769314661896</v>
      </c>
      <c r="AV98" s="59">
        <v>2</v>
      </c>
      <c r="AW98" s="59">
        <f t="shared" si="698"/>
        <v>2000</v>
      </c>
      <c r="AX98" s="59">
        <v>11802</v>
      </c>
      <c r="AY98" s="62">
        <v>76.299999999999997</v>
      </c>
      <c r="AZ98" s="62" t="s">
        <v>440</v>
      </c>
      <c r="BA98" s="59"/>
      <c r="BB98" s="59" t="s">
        <v>441</v>
      </c>
      <c r="BC98" s="59">
        <v>1000</v>
      </c>
      <c r="BD98" s="62">
        <v>34.112554776052498</v>
      </c>
      <c r="BE98" s="59">
        <f t="shared" si="741"/>
        <v>427.537580914758</v>
      </c>
      <c r="BF98" s="62" t="e">
        <f>VLOOKUP(B98,'2022年项目库建设情况'!B:O,14,0)</f>
        <v>#N/A</v>
      </c>
      <c r="BG98" s="59" t="e">
        <f t="shared" si="742"/>
        <v>#N/A</v>
      </c>
      <c r="BH98" s="53" t="e">
        <f>ROUND(AI98+AD98+#REF!+#REF!+BE98+BG98,0)</f>
        <v>#REF!</v>
      </c>
      <c r="BI98" s="59" t="e">
        <f t="shared" si="743"/>
        <v>#REF!</v>
      </c>
      <c r="BJ98" s="167" t="e">
        <f t="shared" si="744"/>
        <v>#REF!</v>
      </c>
      <c r="BK98" s="170">
        <f t="shared" si="745"/>
        <v>31936.317164812099</v>
      </c>
      <c r="BL98" s="59">
        <v>35170</v>
      </c>
      <c r="BM98" s="59">
        <f t="shared" si="746"/>
        <v>31936.5246486863</v>
      </c>
      <c r="BN98" s="59">
        <f t="shared" si="747"/>
        <v>-0.207483874146419</v>
      </c>
      <c r="BO98" s="43">
        <f t="shared" si="706"/>
        <v>-6.4967580670977601e-006</v>
      </c>
      <c r="BP98" s="4"/>
    </row>
    <row r="99" ht="17" customHeight="1">
      <c r="A99" s="46">
        <v>64</v>
      </c>
      <c r="B99" s="82" t="s">
        <v>145</v>
      </c>
      <c r="C99" s="46" t="s">
        <v>90</v>
      </c>
      <c r="D99" s="46">
        <v>2019</v>
      </c>
      <c r="E99" s="46" t="s">
        <v>91</v>
      </c>
      <c r="F99" s="46" t="s">
        <v>146</v>
      </c>
      <c r="G99" s="73" t="e">
        <f>VLOOKUP(B:B,#REF!,2,0)</f>
        <v>#REF!</v>
      </c>
      <c r="H99" s="73" t="e">
        <f t="shared" si="728"/>
        <v>#REF!</v>
      </c>
      <c r="I99" s="59" t="e">
        <f>VLOOKUP(B99,#REF!,4,0)</f>
        <v>#REF!</v>
      </c>
      <c r="J99" s="59" t="e">
        <f>VLOOKUP(B99,#REF!,2,0)</f>
        <v>#REF!</v>
      </c>
      <c r="K99" s="73" t="e">
        <f t="shared" si="729"/>
        <v>#REF!</v>
      </c>
      <c r="L99" s="73" t="e">
        <f t="shared" si="730"/>
        <v>#REF!</v>
      </c>
      <c r="M99" s="59">
        <v>12236</v>
      </c>
      <c r="N99" s="59">
        <v>1545</v>
      </c>
      <c r="O99" s="73">
        <v>61080</v>
      </c>
      <c r="P99" s="59">
        <f t="shared" si="717"/>
        <v>48864</v>
      </c>
      <c r="Q99" s="59">
        <f t="shared" si="718"/>
        <v>0</v>
      </c>
      <c r="R99" s="59">
        <f t="shared" si="719"/>
        <v>0</v>
      </c>
      <c r="S99" s="59">
        <f t="shared" si="720"/>
        <v>0</v>
      </c>
      <c r="T99" s="59">
        <f t="shared" si="721"/>
        <v>48864</v>
      </c>
      <c r="U99" s="59">
        <f t="shared" si="722"/>
        <v>0</v>
      </c>
      <c r="V99" s="59">
        <v>4140</v>
      </c>
      <c r="W99" s="59">
        <f t="shared" si="748"/>
        <v>4140</v>
      </c>
      <c r="X99" s="59">
        <v>5009</v>
      </c>
      <c r="Y99" s="59">
        <f t="shared" si="732"/>
        <v>0</v>
      </c>
      <c r="Z99" s="59"/>
      <c r="AA99" s="59"/>
      <c r="AB99" s="59"/>
      <c r="AC99" s="59">
        <v>1697</v>
      </c>
      <c r="AD99" s="59">
        <f t="shared" si="733"/>
        <v>3499.4672230812998</v>
      </c>
      <c r="AE99" s="59">
        <v>11752.120000000001</v>
      </c>
      <c r="AF99" s="62">
        <f t="shared" si="734"/>
        <v>0.63037072657503102</v>
      </c>
      <c r="AG99" s="62">
        <f t="shared" si="735"/>
        <v>4.1112778787223503</v>
      </c>
      <c r="AH99" s="62">
        <f t="shared" si="749"/>
        <v>4.1112778787223503</v>
      </c>
      <c r="AI99" s="59">
        <f t="shared" si="737"/>
        <v>1225.4773200883899</v>
      </c>
      <c r="AJ99" s="59">
        <f t="shared" si="750"/>
        <v>48864</v>
      </c>
      <c r="AK99" s="59">
        <f t="shared" si="751"/>
        <v>34.7640683787874</v>
      </c>
      <c r="AL99" s="59">
        <v>2035.8699999999999</v>
      </c>
      <c r="AM99" s="59">
        <v>21</v>
      </c>
      <c r="AN99" s="62">
        <v>0.98442221177734501</v>
      </c>
      <c r="AO99" s="59">
        <f t="shared" si="738"/>
        <v>229.30716823303899</v>
      </c>
      <c r="AP99" s="59"/>
      <c r="AQ99" s="59"/>
      <c r="AR99" s="59">
        <v>32002</v>
      </c>
      <c r="AS99" s="59">
        <f t="shared" si="739"/>
        <v>438.36614709826603</v>
      </c>
      <c r="AT99" s="189">
        <v>0.60999999999999999</v>
      </c>
      <c r="AU99" s="59">
        <f t="shared" si="740"/>
        <v>442.92189036158402</v>
      </c>
      <c r="AV99" s="59"/>
      <c r="AW99" s="59">
        <f t="shared" si="698"/>
        <v>0</v>
      </c>
      <c r="AX99" s="59"/>
      <c r="AY99" s="62">
        <v>69.049999999999997</v>
      </c>
      <c r="AZ99" s="62" t="s">
        <v>440</v>
      </c>
      <c r="BA99" s="59"/>
      <c r="BB99" s="59" t="s">
        <v>441</v>
      </c>
      <c r="BC99" s="59">
        <v>1000</v>
      </c>
      <c r="BD99" s="62">
        <v>20.175646803728799</v>
      </c>
      <c r="BE99" s="59">
        <f t="shared" si="741"/>
        <v>252.86429833488299</v>
      </c>
      <c r="BF99" s="62" t="e">
        <f>VLOOKUP(B99,'2022年项目库建设情况'!B:O,14,0)</f>
        <v>#N/A</v>
      </c>
      <c r="BG99" s="59" t="e">
        <f t="shared" si="742"/>
        <v>#N/A</v>
      </c>
      <c r="BH99" s="53" t="e">
        <f>ROUND(AI99+AD99+#REF!+#REF!+BE99+BG99,0)</f>
        <v>#REF!</v>
      </c>
      <c r="BI99" s="59" t="e">
        <f t="shared" si="743"/>
        <v>#REF!</v>
      </c>
      <c r="BJ99" s="167" t="e">
        <f t="shared" si="744"/>
        <v>#REF!</v>
      </c>
      <c r="BK99" s="170">
        <f t="shared" si="745"/>
        <v>7088.4040471974604</v>
      </c>
      <c r="BL99" s="59">
        <v>12236</v>
      </c>
      <c r="BM99" s="59">
        <f t="shared" si="746"/>
        <v>11111.0411032506</v>
      </c>
      <c r="BN99" s="59">
        <f t="shared" si="747"/>
        <v>-4022.63705605319</v>
      </c>
      <c r="BO99" s="43">
        <f t="shared" si="706"/>
        <v>-0.36203961615049002</v>
      </c>
    </row>
    <row r="100" s="64" customFormat="1" ht="17" customHeight="1">
      <c r="A100" s="65"/>
      <c r="B100" s="66" t="s">
        <v>147</v>
      </c>
      <c r="C100" s="67">
        <v>1</v>
      </c>
      <c r="D100" s="67"/>
      <c r="E100" s="67"/>
      <c r="F100" s="68"/>
      <c r="G100" s="69" t="e">
        <f t="shared" ref="G100:M100" si="752">G101+G102</f>
        <v>#REF!</v>
      </c>
      <c r="H100" s="69" t="e">
        <f t="shared" si="752"/>
        <v>#REF!</v>
      </c>
      <c r="I100" s="69" t="e">
        <f t="shared" si="752"/>
        <v>#REF!</v>
      </c>
      <c r="J100" s="69" t="e">
        <f t="shared" si="752"/>
        <v>#REF!</v>
      </c>
      <c r="K100" s="69" t="e">
        <f t="shared" si="752"/>
        <v>#REF!</v>
      </c>
      <c r="L100" s="69" t="e">
        <f t="shared" si="752"/>
        <v>#REF!</v>
      </c>
      <c r="M100" s="69">
        <f t="shared" si="752"/>
        <v>107786</v>
      </c>
      <c r="N100" s="69">
        <v>38744</v>
      </c>
      <c r="O100" s="69">
        <f t="shared" ref="O100:AD100" si="753">O101+O102</f>
        <v>553461</v>
      </c>
      <c r="P100" s="69">
        <f t="shared" si="753"/>
        <v>438757</v>
      </c>
      <c r="Q100" s="69">
        <f t="shared" si="753"/>
        <v>3311.1999999999998</v>
      </c>
      <c r="R100" s="69">
        <f t="shared" si="753"/>
        <v>5276</v>
      </c>
      <c r="S100" s="69">
        <f t="shared" si="753"/>
        <v>84178.800000000003</v>
      </c>
      <c r="T100" s="69">
        <f t="shared" si="753"/>
        <v>149704</v>
      </c>
      <c r="U100" s="69">
        <f t="shared" si="753"/>
        <v>196287</v>
      </c>
      <c r="V100" s="69">
        <f t="shared" si="753"/>
        <v>83924</v>
      </c>
      <c r="W100" s="69">
        <f t="shared" si="753"/>
        <v>74088.899999999994</v>
      </c>
      <c r="X100" s="69">
        <f t="shared" si="753"/>
        <v>81805</v>
      </c>
      <c r="Y100" s="69">
        <f t="shared" si="753"/>
        <v>0</v>
      </c>
      <c r="Z100" s="69">
        <f t="shared" si="753"/>
        <v>0</v>
      </c>
      <c r="AA100" s="69">
        <f t="shared" si="753"/>
        <v>0</v>
      </c>
      <c r="AB100" s="69">
        <f t="shared" si="753"/>
        <v>0</v>
      </c>
      <c r="AC100" s="69">
        <f t="shared" si="753"/>
        <v>12124</v>
      </c>
      <c r="AD100" s="69">
        <f t="shared" si="753"/>
        <v>41118.434232059102</v>
      </c>
      <c r="AE100" s="69"/>
      <c r="AF100" s="69">
        <f t="shared" ref="AF100:AL100" si="754">AF101+AF102</f>
        <v>5.9942908042898004</v>
      </c>
      <c r="AG100" s="69">
        <f t="shared" si="754"/>
        <v>38.956899135390898</v>
      </c>
      <c r="AH100" s="69">
        <f t="shared" si="754"/>
        <v>34.4361887153987</v>
      </c>
      <c r="AI100" s="69">
        <f t="shared" si="754"/>
        <v>10264.635353259</v>
      </c>
      <c r="AJ100" s="69">
        <f t="shared" si="754"/>
        <v>380743</v>
      </c>
      <c r="AK100" s="69">
        <f t="shared" si="754"/>
        <v>270.87785868419797</v>
      </c>
      <c r="AL100" s="69">
        <f t="shared" si="754"/>
        <v>95831.279999999999</v>
      </c>
      <c r="AM100" s="69">
        <v>244</v>
      </c>
      <c r="AN100" s="71">
        <v>9.2901645398063799</v>
      </c>
      <c r="AO100" s="69">
        <f t="shared" ref="AO100:BA100" si="755">AO101+AO102</f>
        <v>10793.8126918455</v>
      </c>
      <c r="AP100" s="69">
        <f t="shared" si="755"/>
        <v>0</v>
      </c>
      <c r="AQ100" s="69">
        <f t="shared" si="755"/>
        <v>20000</v>
      </c>
      <c r="AR100" s="69">
        <f t="shared" si="755"/>
        <v>252142</v>
      </c>
      <c r="AS100" s="69">
        <f t="shared" si="755"/>
        <v>3453.8627917521098</v>
      </c>
      <c r="AT100" s="69">
        <f t="shared" si="755"/>
        <v>5.6395999999999997</v>
      </c>
      <c r="AU100" s="69">
        <f t="shared" si="755"/>
        <v>4094.92179161179</v>
      </c>
      <c r="AV100" s="69">
        <f t="shared" si="755"/>
        <v>8</v>
      </c>
      <c r="AW100" s="69">
        <f t="shared" si="755"/>
        <v>8000</v>
      </c>
      <c r="AX100" s="69">
        <f t="shared" si="755"/>
        <v>1867</v>
      </c>
      <c r="AY100" s="69">
        <f t="shared" si="755"/>
        <v>804.99000000000001</v>
      </c>
      <c r="AZ100" s="69">
        <f t="shared" si="755"/>
        <v>0</v>
      </c>
      <c r="BA100" s="69">
        <f t="shared" si="755"/>
        <v>5000</v>
      </c>
      <c r="BB100" s="69"/>
      <c r="BC100" s="69">
        <f t="shared" ref="BC100:BK100" si="756">BC101+BC102</f>
        <v>2400</v>
      </c>
      <c r="BD100" s="71">
        <f t="shared" si="756"/>
        <v>318.77707085304303</v>
      </c>
      <c r="BE100" s="69">
        <f t="shared" si="756"/>
        <v>3995.2791169800998</v>
      </c>
      <c r="BF100" s="71" t="e">
        <f t="shared" si="756"/>
        <v>#N/A</v>
      </c>
      <c r="BG100" s="69" t="e">
        <f t="shared" si="756"/>
        <v>#N/A</v>
      </c>
      <c r="BH100" s="70" t="e">
        <f t="shared" si="756"/>
        <v>#REF!</v>
      </c>
      <c r="BI100" s="70" t="e">
        <f t="shared" si="756"/>
        <v>#REF!</v>
      </c>
      <c r="BJ100" s="183" t="e">
        <f t="shared" si="756"/>
        <v>#REF!</v>
      </c>
      <c r="BK100" s="184">
        <f t="shared" si="756"/>
        <v>90987.945977507596</v>
      </c>
      <c r="BL100" s="69">
        <v>107786</v>
      </c>
      <c r="BM100" s="184">
        <f>BM101+BM102</f>
        <v>97876.322029664501</v>
      </c>
      <c r="BN100" s="184">
        <f>BN101+BN102</f>
        <v>-6888.3760521568702</v>
      </c>
      <c r="BO100" s="43">
        <f t="shared" si="706"/>
        <v>-7.0378370471145604e-002</v>
      </c>
      <c r="BP100" s="185"/>
    </row>
    <row r="101" s="5" customFormat="1" ht="17" customHeight="1">
      <c r="A101" s="44"/>
      <c r="B101" s="72" t="s">
        <v>148</v>
      </c>
      <c r="C101" s="46">
        <v>2</v>
      </c>
      <c r="D101" s="46"/>
      <c r="E101" s="46"/>
      <c r="F101" s="46"/>
      <c r="G101" s="73"/>
      <c r="H101" s="73"/>
      <c r="I101" s="73"/>
      <c r="J101" s="73"/>
      <c r="K101" s="73"/>
      <c r="L101" s="73"/>
      <c r="M101" s="73"/>
      <c r="N101" s="73"/>
      <c r="O101" s="73"/>
      <c r="P101" s="59">
        <f t="shared" ref="P101:P112" si="757">SUM(Q101:U101)</f>
        <v>0</v>
      </c>
      <c r="Q101" s="59">
        <f t="shared" ref="Q101:Q112" si="758">IF(D101="",O101*0.2,0)</f>
        <v>0</v>
      </c>
      <c r="R101" s="59">
        <f t="shared" ref="R101:R112" si="759">IF(D101=2017,O101*0.4,0)</f>
        <v>0</v>
      </c>
      <c r="S101" s="59">
        <f t="shared" ref="S101:S112" si="760">IF(D101=2018,O101*0.6,0)</f>
        <v>0</v>
      </c>
      <c r="T101" s="59">
        <f t="shared" ref="T101:T112" si="761">IF(D101=2019,O101*0.8,0)</f>
        <v>0</v>
      </c>
      <c r="U101" s="59">
        <f t="shared" ref="U101:U112" si="762">IF(D101=2020,O101*1,0)</f>
        <v>0</v>
      </c>
      <c r="V101" s="59"/>
      <c r="W101" s="59"/>
      <c r="X101" s="59"/>
      <c r="Y101" s="59">
        <f>T101*0.4+U101*0.6+V101*0.8+X101*1</f>
        <v>0</v>
      </c>
      <c r="Z101" s="59"/>
      <c r="AA101" s="59"/>
      <c r="AB101" s="59"/>
      <c r="AC101" s="59"/>
      <c r="AD101" s="59"/>
      <c r="AE101" s="59"/>
      <c r="AF101" s="62"/>
      <c r="AG101" s="62"/>
      <c r="AH101" s="62"/>
      <c r="AI101" s="59"/>
      <c r="AJ101" s="59"/>
      <c r="AK101" s="59"/>
      <c r="AL101" s="59"/>
      <c r="AM101" s="59"/>
      <c r="AN101" s="62"/>
      <c r="AO101" s="59"/>
      <c r="AP101" s="59"/>
      <c r="AQ101" s="59">
        <v>20000</v>
      </c>
      <c r="AR101" s="59"/>
      <c r="AS101" s="59"/>
      <c r="AT101" s="59"/>
      <c r="AU101" s="59"/>
      <c r="AV101" s="59"/>
      <c r="AW101" s="59"/>
      <c r="AX101" s="59"/>
      <c r="AY101" s="62"/>
      <c r="AZ101" s="62"/>
      <c r="BA101" s="59"/>
      <c r="BB101" s="59"/>
      <c r="BC101" s="59"/>
      <c r="BD101" s="62"/>
      <c r="BE101" s="59"/>
      <c r="BF101" s="62"/>
      <c r="BG101" s="59"/>
      <c r="BH101" s="53"/>
      <c r="BI101" s="59"/>
      <c r="BJ101" s="182"/>
      <c r="BK101" s="170"/>
      <c r="BL101" s="73"/>
      <c r="BM101" s="170"/>
      <c r="BN101" s="50"/>
      <c r="BO101" s="43"/>
      <c r="BP101" s="4"/>
    </row>
    <row r="102" s="74" customFormat="1" ht="17" customHeight="1">
      <c r="A102" s="75"/>
      <c r="B102" s="76" t="s">
        <v>76</v>
      </c>
      <c r="C102" s="77">
        <v>3</v>
      </c>
      <c r="D102" s="77"/>
      <c r="E102" s="77"/>
      <c r="F102" s="78"/>
      <c r="G102" s="79" t="e">
        <f t="shared" ref="G102:M102" si="763">SUM(G103:G112)</f>
        <v>#REF!</v>
      </c>
      <c r="H102" s="79" t="e">
        <f t="shared" si="763"/>
        <v>#REF!</v>
      </c>
      <c r="I102" s="79" t="e">
        <f t="shared" si="763"/>
        <v>#REF!</v>
      </c>
      <c r="J102" s="79" t="e">
        <f t="shared" si="763"/>
        <v>#REF!</v>
      </c>
      <c r="K102" s="79" t="e">
        <f t="shared" si="763"/>
        <v>#REF!</v>
      </c>
      <c r="L102" s="79" t="e">
        <f t="shared" si="763"/>
        <v>#REF!</v>
      </c>
      <c r="M102" s="79">
        <f t="shared" si="763"/>
        <v>107786</v>
      </c>
      <c r="N102" s="79">
        <v>38744</v>
      </c>
      <c r="O102" s="79">
        <f t="shared" ref="O102:AD102" si="764">SUM(O103:O112)</f>
        <v>553461</v>
      </c>
      <c r="P102" s="79">
        <f t="shared" si="764"/>
        <v>438757</v>
      </c>
      <c r="Q102" s="79">
        <f t="shared" si="764"/>
        <v>3311.1999999999998</v>
      </c>
      <c r="R102" s="79">
        <f t="shared" si="764"/>
        <v>5276</v>
      </c>
      <c r="S102" s="79">
        <f t="shared" si="764"/>
        <v>84178.800000000003</v>
      </c>
      <c r="T102" s="79">
        <f t="shared" si="764"/>
        <v>149704</v>
      </c>
      <c r="U102" s="79">
        <f t="shared" si="764"/>
        <v>196287</v>
      </c>
      <c r="V102" s="79">
        <f t="shared" si="764"/>
        <v>83924</v>
      </c>
      <c r="W102" s="79">
        <f t="shared" si="764"/>
        <v>74088.899999999994</v>
      </c>
      <c r="X102" s="79">
        <f t="shared" si="764"/>
        <v>81805</v>
      </c>
      <c r="Y102" s="79">
        <f t="shared" si="764"/>
        <v>0</v>
      </c>
      <c r="Z102" s="79">
        <f t="shared" si="764"/>
        <v>0</v>
      </c>
      <c r="AA102" s="79">
        <f t="shared" si="764"/>
        <v>0</v>
      </c>
      <c r="AB102" s="79">
        <f t="shared" si="764"/>
        <v>0</v>
      </c>
      <c r="AC102" s="79">
        <f t="shared" si="764"/>
        <v>12124</v>
      </c>
      <c r="AD102" s="79">
        <f t="shared" si="764"/>
        <v>41118.434232059102</v>
      </c>
      <c r="AE102" s="79"/>
      <c r="AF102" s="79">
        <f t="shared" ref="AF102:AL102" si="765">SUM(AF103:AF112)</f>
        <v>5.9942908042898004</v>
      </c>
      <c r="AG102" s="79">
        <f t="shared" si="765"/>
        <v>38.956899135390898</v>
      </c>
      <c r="AH102" s="79">
        <f t="shared" si="765"/>
        <v>34.4361887153987</v>
      </c>
      <c r="AI102" s="79">
        <f t="shared" si="765"/>
        <v>10264.635353259</v>
      </c>
      <c r="AJ102" s="79">
        <f t="shared" si="765"/>
        <v>380743</v>
      </c>
      <c r="AK102" s="79">
        <f t="shared" si="765"/>
        <v>270.87785868419797</v>
      </c>
      <c r="AL102" s="79">
        <f t="shared" si="765"/>
        <v>95831.279999999999</v>
      </c>
      <c r="AM102" s="79">
        <v>244</v>
      </c>
      <c r="AN102" s="81">
        <v>9.2901645398063799</v>
      </c>
      <c r="AO102" s="79">
        <f t="shared" ref="AO102:BA102" si="766">SUM(AO103:AO112)</f>
        <v>10793.8126918455</v>
      </c>
      <c r="AP102" s="79">
        <f t="shared" si="766"/>
        <v>0</v>
      </c>
      <c r="AQ102" s="79"/>
      <c r="AR102" s="79">
        <f t="shared" si="766"/>
        <v>252142</v>
      </c>
      <c r="AS102" s="79">
        <f t="shared" si="766"/>
        <v>3453.8627917521098</v>
      </c>
      <c r="AT102" s="79">
        <f t="shared" si="766"/>
        <v>5.6395999999999997</v>
      </c>
      <c r="AU102" s="79">
        <f t="shared" si="766"/>
        <v>4094.92179161179</v>
      </c>
      <c r="AV102" s="79">
        <f t="shared" si="766"/>
        <v>8</v>
      </c>
      <c r="AW102" s="79">
        <f t="shared" si="766"/>
        <v>8000</v>
      </c>
      <c r="AX102" s="79">
        <f t="shared" si="766"/>
        <v>1867</v>
      </c>
      <c r="AY102" s="79">
        <f t="shared" si="766"/>
        <v>804.99000000000001</v>
      </c>
      <c r="AZ102" s="79">
        <f t="shared" si="766"/>
        <v>0</v>
      </c>
      <c r="BA102" s="79">
        <f t="shared" si="766"/>
        <v>5000</v>
      </c>
      <c r="BB102" s="79"/>
      <c r="BC102" s="79">
        <f t="shared" ref="BC102:BK102" si="767">SUM(BC103:BC112)</f>
        <v>2400</v>
      </c>
      <c r="BD102" s="81">
        <f t="shared" si="767"/>
        <v>318.77707085304303</v>
      </c>
      <c r="BE102" s="79">
        <f t="shared" si="767"/>
        <v>3995.2791169800998</v>
      </c>
      <c r="BF102" s="81" t="e">
        <f t="shared" si="767"/>
        <v>#N/A</v>
      </c>
      <c r="BG102" s="79" t="e">
        <f t="shared" si="767"/>
        <v>#N/A</v>
      </c>
      <c r="BH102" s="80" t="e">
        <f t="shared" si="767"/>
        <v>#REF!</v>
      </c>
      <c r="BI102" s="80" t="e">
        <f t="shared" si="767"/>
        <v>#REF!</v>
      </c>
      <c r="BJ102" s="186" t="e">
        <f t="shared" si="767"/>
        <v>#REF!</v>
      </c>
      <c r="BK102" s="187">
        <f t="shared" si="767"/>
        <v>90987.945977507596</v>
      </c>
      <c r="BL102" s="79">
        <v>107786</v>
      </c>
      <c r="BM102" s="187">
        <f>SUM(BM103:BM112)</f>
        <v>97876.322029664501</v>
      </c>
      <c r="BN102" s="187">
        <f>SUM(BN103:BN112)</f>
        <v>-6888.3760521568702</v>
      </c>
      <c r="BO102" s="43">
        <f t="shared" si="706"/>
        <v>-7.0378370471145604e-002</v>
      </c>
      <c r="BP102" s="188"/>
    </row>
    <row r="103" ht="17" customHeight="1">
      <c r="A103" s="46">
        <v>65</v>
      </c>
      <c r="B103" s="82" t="s">
        <v>149</v>
      </c>
      <c r="C103" s="46" t="s">
        <v>78</v>
      </c>
      <c r="D103" s="46"/>
      <c r="E103" s="46"/>
      <c r="F103" s="46"/>
      <c r="G103" s="73" t="e">
        <f>VLOOKUP(B:B,#REF!,2,0)</f>
        <v>#REF!</v>
      </c>
      <c r="H103" s="73" t="e">
        <f t="shared" ref="H103:H112" si="768">G103*299423/381298.76</f>
        <v>#REF!</v>
      </c>
      <c r="I103" s="59" t="e">
        <f>VLOOKUP(B103,#REF!,4,0)</f>
        <v>#REF!</v>
      </c>
      <c r="J103" s="59" t="e">
        <f>VLOOKUP(B103,#REF!,2,0)</f>
        <v>#REF!</v>
      </c>
      <c r="K103" s="73" t="e">
        <f t="shared" ref="K103:K112" si="769">I103*1485211/1408452</f>
        <v>#REF!</v>
      </c>
      <c r="L103" s="73" t="e">
        <f t="shared" ref="L103:L112" si="770">J103*1485211/1408452</f>
        <v>#REF!</v>
      </c>
      <c r="M103" s="59">
        <v>1817</v>
      </c>
      <c r="N103" s="59">
        <v>8077</v>
      </c>
      <c r="O103" s="73">
        <v>16556</v>
      </c>
      <c r="P103" s="59">
        <f t="shared" si="757"/>
        <v>3311.1999999999998</v>
      </c>
      <c r="Q103" s="59">
        <f t="shared" si="758"/>
        <v>3311.1999999999998</v>
      </c>
      <c r="R103" s="59">
        <f t="shared" si="759"/>
        <v>0</v>
      </c>
      <c r="S103" s="59">
        <f t="shared" si="760"/>
        <v>0</v>
      </c>
      <c r="T103" s="59">
        <f t="shared" si="761"/>
        <v>0</v>
      </c>
      <c r="U103" s="59">
        <f t="shared" si="762"/>
        <v>0</v>
      </c>
      <c r="V103" s="59">
        <v>1047</v>
      </c>
      <c r="W103" s="59">
        <f>V103*0.2</f>
        <v>209.40000000000001</v>
      </c>
      <c r="X103" s="59">
        <v>1715</v>
      </c>
      <c r="Y103" s="59">
        <f t="shared" ref="Y103:Y112" si="771">Z103+AA103+AB103*1.2</f>
        <v>0</v>
      </c>
      <c r="Z103" s="59"/>
      <c r="AA103" s="59"/>
      <c r="AB103" s="59"/>
      <c r="AC103" s="59">
        <v>448</v>
      </c>
      <c r="AD103" s="59">
        <f t="shared" ref="AD103:AD112" si="772">O103/$O$9*202299+W103/$W$9*134866+AC103/$AC$9*34867+X103/$X$9*100000</f>
        <v>818.82395401102497</v>
      </c>
      <c r="AE103" s="59">
        <v>12525.73</v>
      </c>
      <c r="AF103" s="62">
        <f t="shared" ref="AF103:AF112" si="773">($AE$64-AE103)/($AE$64-$AE$44)</f>
        <v>0.50553491839626197</v>
      </c>
      <c r="AG103" s="62">
        <f t="shared" ref="AG103:AG112" si="774">(O103+V103)*AF103/10000</f>
        <v>0.88989311685293904</v>
      </c>
      <c r="AH103" s="62">
        <f>AG103*0.2</f>
        <v>0.17797862337058801</v>
      </c>
      <c r="AI103" s="59">
        <f t="shared" ref="AI103:AI112" si="775">AH103/$AH$9*1348663*0.1</f>
        <v>53.051331686923199</v>
      </c>
      <c r="AJ103" s="59"/>
      <c r="AK103" s="59"/>
      <c r="AL103" s="59">
        <v>1208</v>
      </c>
      <c r="AM103" s="59">
        <v>20</v>
      </c>
      <c r="AN103" s="62">
        <v>0.85999612177622697</v>
      </c>
      <c r="AO103" s="59">
        <f t="shared" ref="AO103:AO112" si="776">(AL103/$AL$9*80000)</f>
        <v>136.06127072235</v>
      </c>
      <c r="AP103" s="59"/>
      <c r="AQ103" s="59"/>
      <c r="AR103" s="59">
        <v>8388</v>
      </c>
      <c r="AS103" s="59">
        <f t="shared" ref="AS103:AS112" si="777">AR103/$AR$9*50000</f>
        <v>114.899545086565</v>
      </c>
      <c r="AT103" s="189">
        <v>0.18049999999999999</v>
      </c>
      <c r="AU103" s="59">
        <f t="shared" ref="AU103:AU112" si="778">AT103/$AT$9*50000</f>
        <v>131.06131345945201</v>
      </c>
      <c r="AV103" s="59">
        <v>1</v>
      </c>
      <c r="AW103" s="59">
        <f t="shared" si="698"/>
        <v>1000</v>
      </c>
      <c r="AX103" s="59"/>
      <c r="AY103" s="62">
        <v>82.650000000000006</v>
      </c>
      <c r="AZ103" s="62" t="s">
        <v>442</v>
      </c>
      <c r="BA103" s="59">
        <v>500</v>
      </c>
      <c r="BB103" s="59" t="s">
        <v>443</v>
      </c>
      <c r="BC103" s="59"/>
      <c r="BD103" s="62">
        <v>33.562105936220497</v>
      </c>
      <c r="BE103" s="59">
        <f t="shared" ref="BE103:BE112" si="779">BD103/$BD$9*42266</f>
        <v>420.638726022649</v>
      </c>
      <c r="BF103" s="62" t="e">
        <f>VLOOKUP(B103,'2022年项目库建设情况'!B:O,14,0)</f>
        <v>#N/A</v>
      </c>
      <c r="BG103" s="59" t="e">
        <f t="shared" ref="BG103:BG112" si="780">BF103/$BF$9*1348663*0.025</f>
        <v>#N/A</v>
      </c>
      <c r="BH103" s="53" t="e">
        <f>ROUND(AI103+AD103+#REF!+#REF!+BE103+BG103,0)</f>
        <v>#REF!</v>
      </c>
      <c r="BI103" s="59" t="e">
        <f t="shared" ref="BI103:BI112" si="781">N103-G103</f>
        <v>#REF!</v>
      </c>
      <c r="BJ103" s="167" t="e">
        <f t="shared" ref="BJ103:BJ112" si="782">BI103/G103</f>
        <v>#REF!</v>
      </c>
      <c r="BK103" s="170">
        <f t="shared" ref="BK103:BK112" si="783">AD103+AI103+AO103+AP103+AS103+AU103+AW103+AX103+BA103+BC103+BE103</f>
        <v>3174.5361409889701</v>
      </c>
      <c r="BL103" s="59">
        <v>1817</v>
      </c>
      <c r="BM103" s="59">
        <f t="shared" ref="BM103:BM112" si="784">BL103/$BL$9*1348663</f>
        <v>1649.9478330015099</v>
      </c>
      <c r="BN103" s="59">
        <f t="shared" ref="BN103:BN112" si="785">BK103-BM103</f>
        <v>1524.58830798746</v>
      </c>
      <c r="BO103" s="43">
        <f t="shared" si="706"/>
        <v>0.92402212815056195</v>
      </c>
    </row>
    <row r="104" ht="17" customHeight="1">
      <c r="A104" s="46">
        <v>66</v>
      </c>
      <c r="B104" s="82" t="s">
        <v>150</v>
      </c>
      <c r="C104" s="46" t="s">
        <v>90</v>
      </c>
      <c r="D104" s="46">
        <v>2017</v>
      </c>
      <c r="E104" s="46"/>
      <c r="F104" s="46"/>
      <c r="G104" s="73" t="e">
        <f>VLOOKUP(B:B,#REF!,2,0)</f>
        <v>#REF!</v>
      </c>
      <c r="H104" s="73" t="e">
        <f t="shared" si="768"/>
        <v>#REF!</v>
      </c>
      <c r="I104" s="59" t="e">
        <f>VLOOKUP(B104,#REF!,4,0)</f>
        <v>#REF!</v>
      </c>
      <c r="J104" s="59" t="e">
        <f>VLOOKUP(B104,#REF!,2,0)</f>
        <v>#REF!</v>
      </c>
      <c r="K104" s="73" t="e">
        <f t="shared" si="769"/>
        <v>#REF!</v>
      </c>
      <c r="L104" s="73" t="e">
        <f t="shared" si="770"/>
        <v>#REF!</v>
      </c>
      <c r="M104" s="59">
        <v>1957</v>
      </c>
      <c r="N104" s="59">
        <v>4533</v>
      </c>
      <c r="O104" s="73">
        <v>13190</v>
      </c>
      <c r="P104" s="59">
        <f t="shared" si="757"/>
        <v>5276</v>
      </c>
      <c r="Q104" s="59">
        <f t="shared" si="758"/>
        <v>0</v>
      </c>
      <c r="R104" s="59">
        <f t="shared" si="759"/>
        <v>5276</v>
      </c>
      <c r="S104" s="59">
        <f t="shared" si="760"/>
        <v>0</v>
      </c>
      <c r="T104" s="59">
        <f t="shared" si="761"/>
        <v>0</v>
      </c>
      <c r="U104" s="59">
        <f t="shared" si="762"/>
        <v>0</v>
      </c>
      <c r="V104" s="59">
        <v>4423</v>
      </c>
      <c r="W104" s="59">
        <f t="shared" ref="W104:W107" si="786">V104*0.5</f>
        <v>2211.5</v>
      </c>
      <c r="X104" s="59">
        <v>1167</v>
      </c>
      <c r="Y104" s="59">
        <f t="shared" si="771"/>
        <v>0</v>
      </c>
      <c r="Z104" s="59"/>
      <c r="AA104" s="59"/>
      <c r="AB104" s="59"/>
      <c r="AC104" s="59">
        <v>369</v>
      </c>
      <c r="AD104" s="59">
        <f t="shared" si="772"/>
        <v>999.78802532684199</v>
      </c>
      <c r="AE104" s="59">
        <v>11646.190000000001</v>
      </c>
      <c r="AF104" s="62">
        <f t="shared" si="773"/>
        <v>0.64746442645013202</v>
      </c>
      <c r="AG104" s="62">
        <f t="shared" si="774"/>
        <v>1.1403790943066201</v>
      </c>
      <c r="AH104" s="62">
        <f t="shared" ref="AH104:AH107" si="787">AG104*0.5</f>
        <v>0.57018954715330905</v>
      </c>
      <c r="AI104" s="59">
        <f t="shared" si="775"/>
        <v>169.96038185699101</v>
      </c>
      <c r="AJ104" s="59"/>
      <c r="AK104" s="59"/>
      <c r="AL104" s="59">
        <v>761.5</v>
      </c>
      <c r="AM104" s="59">
        <v>10</v>
      </c>
      <c r="AN104" s="62">
        <v>1</v>
      </c>
      <c r="AO104" s="59">
        <f t="shared" si="776"/>
        <v>85.770411966117507</v>
      </c>
      <c r="AP104" s="59"/>
      <c r="AQ104" s="59"/>
      <c r="AR104" s="59">
        <v>7901</v>
      </c>
      <c r="AS104" s="59">
        <f t="shared" si="777"/>
        <v>108.228577220905</v>
      </c>
      <c r="AT104" s="189">
        <v>0.1235</v>
      </c>
      <c r="AU104" s="59">
        <f t="shared" si="778"/>
        <v>89.673530261730505</v>
      </c>
      <c r="AV104" s="59">
        <v>1</v>
      </c>
      <c r="AW104" s="59">
        <f t="shared" si="698"/>
        <v>1000</v>
      </c>
      <c r="AX104" s="59"/>
      <c r="AY104" s="62">
        <v>81.109999999999999</v>
      </c>
      <c r="AZ104" s="62" t="s">
        <v>442</v>
      </c>
      <c r="BA104" s="59">
        <v>500</v>
      </c>
      <c r="BB104" s="59" t="s">
        <v>441</v>
      </c>
      <c r="BC104" s="59">
        <v>800</v>
      </c>
      <c r="BD104" s="62">
        <v>36.019187773794002</v>
      </c>
      <c r="BE104" s="59">
        <f t="shared" si="779"/>
        <v>451.43368793160698</v>
      </c>
      <c r="BF104" s="62" t="e">
        <f>VLOOKUP(B104,'2022年项目库建设情况'!B:O,14,0)</f>
        <v>#N/A</v>
      </c>
      <c r="BG104" s="59" t="e">
        <f t="shared" si="780"/>
        <v>#N/A</v>
      </c>
      <c r="BH104" s="53" t="e">
        <f>ROUND(AI104+AD104+#REF!+#REF!+BE104+BG104,0)</f>
        <v>#REF!</v>
      </c>
      <c r="BI104" s="59" t="e">
        <f t="shared" si="781"/>
        <v>#REF!</v>
      </c>
      <c r="BJ104" s="167" t="e">
        <f t="shared" si="782"/>
        <v>#REF!</v>
      </c>
      <c r="BK104" s="170">
        <f t="shared" si="783"/>
        <v>4204.8546145641903</v>
      </c>
      <c r="BL104" s="59">
        <v>1957</v>
      </c>
      <c r="BM104" s="59">
        <f t="shared" si="784"/>
        <v>1777.0764497435</v>
      </c>
      <c r="BN104" s="59">
        <f t="shared" si="785"/>
        <v>2427.7781648206901</v>
      </c>
      <c r="BO104" s="43">
        <f t="shared" si="706"/>
        <v>1.3661641654027299</v>
      </c>
    </row>
    <row r="105" ht="17" customHeight="1">
      <c r="A105" s="46">
        <v>67</v>
      </c>
      <c r="B105" s="82" t="s">
        <v>151</v>
      </c>
      <c r="C105" s="46" t="s">
        <v>90</v>
      </c>
      <c r="D105" s="46">
        <v>2019</v>
      </c>
      <c r="E105" s="46" t="s">
        <v>91</v>
      </c>
      <c r="F105" s="46"/>
      <c r="G105" s="73" t="e">
        <f>VLOOKUP(B:B,#REF!,2,0)</f>
        <v>#REF!</v>
      </c>
      <c r="H105" s="73" t="e">
        <f t="shared" si="768"/>
        <v>#REF!</v>
      </c>
      <c r="I105" s="59" t="e">
        <f>VLOOKUP(B105,#REF!,4,0)</f>
        <v>#REF!</v>
      </c>
      <c r="J105" s="59" t="e">
        <f>VLOOKUP(B105,#REF!,2,0)</f>
        <v>#REF!</v>
      </c>
      <c r="K105" s="73" t="e">
        <f t="shared" si="769"/>
        <v>#REF!</v>
      </c>
      <c r="L105" s="73" t="e">
        <f t="shared" si="770"/>
        <v>#REF!</v>
      </c>
      <c r="M105" s="59">
        <v>15791</v>
      </c>
      <c r="N105" s="59">
        <v>3237</v>
      </c>
      <c r="O105" s="73">
        <v>91117</v>
      </c>
      <c r="P105" s="59">
        <f t="shared" si="757"/>
        <v>72893.600000000006</v>
      </c>
      <c r="Q105" s="59">
        <f t="shared" si="758"/>
        <v>0</v>
      </c>
      <c r="R105" s="59">
        <f t="shared" si="759"/>
        <v>0</v>
      </c>
      <c r="S105" s="59">
        <f t="shared" si="760"/>
        <v>0</v>
      </c>
      <c r="T105" s="59">
        <f t="shared" si="761"/>
        <v>72893.600000000006</v>
      </c>
      <c r="U105" s="59">
        <f t="shared" si="762"/>
        <v>0</v>
      </c>
      <c r="V105" s="59">
        <v>11591</v>
      </c>
      <c r="W105" s="59">
        <f t="shared" ref="W105:W112" si="788">V105*1</f>
        <v>11591</v>
      </c>
      <c r="X105" s="59">
        <v>17710</v>
      </c>
      <c r="Y105" s="59">
        <f t="shared" si="771"/>
        <v>0</v>
      </c>
      <c r="Z105" s="59"/>
      <c r="AA105" s="59"/>
      <c r="AB105" s="59"/>
      <c r="AC105" s="59">
        <v>2679</v>
      </c>
      <c r="AD105" s="59">
        <f t="shared" si="772"/>
        <v>7248.5921852402998</v>
      </c>
      <c r="AE105" s="59">
        <v>11955.92</v>
      </c>
      <c r="AF105" s="62">
        <f t="shared" si="773"/>
        <v>0.59748395196400905</v>
      </c>
      <c r="AG105" s="62">
        <f t="shared" si="774"/>
        <v>6.1366381738319404</v>
      </c>
      <c r="AH105" s="62">
        <f t="shared" ref="AH105:AH112" si="789">AG105*1</f>
        <v>6.1366381738319404</v>
      </c>
      <c r="AI105" s="59">
        <f t="shared" si="775"/>
        <v>1829.1906131036701</v>
      </c>
      <c r="AJ105" s="59">
        <f t="shared" ref="AJ105:AJ112" si="790">P105</f>
        <v>72893.600000000006</v>
      </c>
      <c r="AK105" s="59">
        <f t="shared" ref="AK105:AK112" si="791">AJ105/$AJ$9*2859</f>
        <v>51.859816936312498</v>
      </c>
      <c r="AL105" s="59">
        <v>6045</v>
      </c>
      <c r="AM105" s="59">
        <v>73</v>
      </c>
      <c r="AN105" s="62">
        <v>1</v>
      </c>
      <c r="AO105" s="59">
        <f t="shared" si="776"/>
        <v>680.86952112302004</v>
      </c>
      <c r="AP105" s="59"/>
      <c r="AQ105" s="59"/>
      <c r="AR105" s="59">
        <v>43524</v>
      </c>
      <c r="AS105" s="59">
        <f t="shared" si="777"/>
        <v>596.19549360367898</v>
      </c>
      <c r="AT105" s="189">
        <v>0.96330000000000005</v>
      </c>
      <c r="AU105" s="59">
        <f t="shared" si="778"/>
        <v>699.45353604149796</v>
      </c>
      <c r="AV105" s="59">
        <v>2</v>
      </c>
      <c r="AW105" s="59">
        <f t="shared" si="698"/>
        <v>2000</v>
      </c>
      <c r="AX105" s="59"/>
      <c r="AY105" s="62">
        <v>85.260000000000005</v>
      </c>
      <c r="AZ105" s="62" t="s">
        <v>442</v>
      </c>
      <c r="BA105" s="59">
        <v>800</v>
      </c>
      <c r="BB105" s="59" t="s">
        <v>443</v>
      </c>
      <c r="BC105" s="59"/>
      <c r="BD105" s="62">
        <v>33.510833512127697</v>
      </c>
      <c r="BE105" s="59">
        <f t="shared" si="779"/>
        <v>419.99612131865803</v>
      </c>
      <c r="BF105" s="62" t="e">
        <f>VLOOKUP(B105,'2022年项目库建设情况'!B:O,14,0)</f>
        <v>#N/A</v>
      </c>
      <c r="BG105" s="59" t="e">
        <f t="shared" si="780"/>
        <v>#N/A</v>
      </c>
      <c r="BH105" s="53" t="e">
        <f>ROUND(AI105+AD105+#REF!+#REF!+BE105+BG105,0)</f>
        <v>#REF!</v>
      </c>
      <c r="BI105" s="59" t="e">
        <f t="shared" si="781"/>
        <v>#REF!</v>
      </c>
      <c r="BJ105" s="167" t="e">
        <f t="shared" si="782"/>
        <v>#REF!</v>
      </c>
      <c r="BK105" s="170">
        <f t="shared" si="783"/>
        <v>14274.2974704308</v>
      </c>
      <c r="BL105" s="59">
        <v>15791</v>
      </c>
      <c r="BM105" s="59">
        <f t="shared" si="784"/>
        <v>14339.199906949199</v>
      </c>
      <c r="BN105" s="59">
        <f t="shared" si="785"/>
        <v>-64.902436518419606</v>
      </c>
      <c r="BO105" s="43">
        <f t="shared" si="706"/>
        <v>-4.5262244016115397e-003</v>
      </c>
    </row>
    <row r="106" ht="17" customHeight="1">
      <c r="A106" s="46">
        <v>68</v>
      </c>
      <c r="B106" s="82" t="s">
        <v>153</v>
      </c>
      <c r="C106" s="46" t="s">
        <v>90</v>
      </c>
      <c r="D106" s="46">
        <v>2018</v>
      </c>
      <c r="E106" s="46"/>
      <c r="F106" s="46"/>
      <c r="G106" s="73" t="e">
        <f>VLOOKUP(B:B,#REF!,2,0)</f>
        <v>#REF!</v>
      </c>
      <c r="H106" s="73" t="e">
        <f t="shared" si="768"/>
        <v>#REF!</v>
      </c>
      <c r="I106" s="59" t="e">
        <f>VLOOKUP(B106,#REF!,4,0)</f>
        <v>#REF!</v>
      </c>
      <c r="J106" s="59" t="e">
        <f>VLOOKUP(B106,#REF!,2,0)</f>
        <v>#REF!</v>
      </c>
      <c r="K106" s="73" t="e">
        <f t="shared" si="769"/>
        <v>#REF!</v>
      </c>
      <c r="L106" s="73" t="e">
        <f t="shared" si="770"/>
        <v>#REF!</v>
      </c>
      <c r="M106" s="59">
        <v>5758</v>
      </c>
      <c r="N106" s="59">
        <v>1988</v>
      </c>
      <c r="O106" s="73">
        <v>49007</v>
      </c>
      <c r="P106" s="59">
        <f t="shared" si="757"/>
        <v>29404.200000000001</v>
      </c>
      <c r="Q106" s="59">
        <f t="shared" si="758"/>
        <v>0</v>
      </c>
      <c r="R106" s="59">
        <f t="shared" si="759"/>
        <v>0</v>
      </c>
      <c r="S106" s="59">
        <f t="shared" si="760"/>
        <v>29404.200000000001</v>
      </c>
      <c r="T106" s="59">
        <f t="shared" si="761"/>
        <v>0</v>
      </c>
      <c r="U106" s="59">
        <f t="shared" si="762"/>
        <v>0</v>
      </c>
      <c r="V106" s="59">
        <v>8904</v>
      </c>
      <c r="W106" s="59">
        <f t="shared" si="786"/>
        <v>4452</v>
      </c>
      <c r="X106" s="59">
        <v>14292</v>
      </c>
      <c r="Y106" s="59">
        <f t="shared" si="771"/>
        <v>0</v>
      </c>
      <c r="Z106" s="59"/>
      <c r="AA106" s="59"/>
      <c r="AB106" s="59"/>
      <c r="AC106" s="59">
        <v>1196</v>
      </c>
      <c r="AD106" s="59">
        <f t="shared" si="772"/>
        <v>4001.4910152524899</v>
      </c>
      <c r="AE106" s="59">
        <v>11578.01</v>
      </c>
      <c r="AF106" s="62">
        <f t="shared" si="773"/>
        <v>0.65846648873168101</v>
      </c>
      <c r="AG106" s="62">
        <f t="shared" si="774"/>
        <v>3.81324528289404</v>
      </c>
      <c r="AH106" s="62">
        <f t="shared" si="787"/>
        <v>1.90662264144702</v>
      </c>
      <c r="AI106" s="59">
        <f t="shared" si="775"/>
        <v>568.32033104667198</v>
      </c>
      <c r="AJ106" s="59"/>
      <c r="AK106" s="59"/>
      <c r="AL106" s="59">
        <v>3279.4400000000001</v>
      </c>
      <c r="AM106" s="59">
        <v>56</v>
      </c>
      <c r="AN106" s="62">
        <v>0.87116131309565803</v>
      </c>
      <c r="AO106" s="59">
        <f t="shared" si="776"/>
        <v>369.37481263055099</v>
      </c>
      <c r="AP106" s="59"/>
      <c r="AQ106" s="59"/>
      <c r="AR106" s="59">
        <v>21037</v>
      </c>
      <c r="AS106" s="59">
        <f t="shared" si="777"/>
        <v>288.16663447616497</v>
      </c>
      <c r="AT106" s="189">
        <v>0.50590000000000002</v>
      </c>
      <c r="AU106" s="59">
        <f t="shared" si="778"/>
        <v>367.33472841627099</v>
      </c>
      <c r="AV106" s="59">
        <v>1</v>
      </c>
      <c r="AW106" s="59">
        <f t="shared" si="698"/>
        <v>1000</v>
      </c>
      <c r="AX106" s="59"/>
      <c r="AY106" s="62">
        <v>75.409999999999997</v>
      </c>
      <c r="AZ106" s="62" t="s">
        <v>440</v>
      </c>
      <c r="BA106" s="59"/>
      <c r="BB106" s="59" t="s">
        <v>441</v>
      </c>
      <c r="BC106" s="59">
        <v>800</v>
      </c>
      <c r="BD106" s="62">
        <v>13.684751047175499</v>
      </c>
      <c r="BE106" s="59">
        <f t="shared" si="779"/>
        <v>171.51296338078501</v>
      </c>
      <c r="BF106" s="62" t="e">
        <f>VLOOKUP(B106,'2022年项目库建设情况'!B:O,14,0)</f>
        <v>#N/A</v>
      </c>
      <c r="BG106" s="59" t="e">
        <f t="shared" si="780"/>
        <v>#N/A</v>
      </c>
      <c r="BH106" s="53" t="e">
        <f>ROUND(AI106+AD106+#REF!+#REF!+BE106+BG106,0)</f>
        <v>#REF!</v>
      </c>
      <c r="BI106" s="59" t="e">
        <f t="shared" si="781"/>
        <v>#REF!</v>
      </c>
      <c r="BJ106" s="167" t="e">
        <f t="shared" si="782"/>
        <v>#REF!</v>
      </c>
      <c r="BK106" s="170">
        <f t="shared" si="783"/>
        <v>7566.2004852029304</v>
      </c>
      <c r="BL106" s="59">
        <v>5758</v>
      </c>
      <c r="BM106" s="59">
        <f t="shared" si="784"/>
        <v>5228.6183942887601</v>
      </c>
      <c r="BN106" s="59">
        <f t="shared" si="785"/>
        <v>2337.5820909141698</v>
      </c>
      <c r="BO106" s="43">
        <f t="shared" si="706"/>
        <v>0.44707452612482201</v>
      </c>
    </row>
    <row r="107" ht="17" customHeight="1">
      <c r="A107" s="46">
        <v>69</v>
      </c>
      <c r="B107" s="82" t="s">
        <v>154</v>
      </c>
      <c r="C107" s="46" t="s">
        <v>90</v>
      </c>
      <c r="D107" s="46">
        <v>2018</v>
      </c>
      <c r="E107" s="46"/>
      <c r="F107" s="46"/>
      <c r="G107" s="73" t="e">
        <f>VLOOKUP(B:B,#REF!,2,0)</f>
        <v>#REF!</v>
      </c>
      <c r="H107" s="73" t="e">
        <f t="shared" si="768"/>
        <v>#REF!</v>
      </c>
      <c r="I107" s="59" t="e">
        <f>VLOOKUP(B107,#REF!,4,0)</f>
        <v>#REF!</v>
      </c>
      <c r="J107" s="59" t="e">
        <f>VLOOKUP(B107,#REF!,2,0)</f>
        <v>#REF!</v>
      </c>
      <c r="K107" s="73" t="e">
        <f t="shared" si="769"/>
        <v>#REF!</v>
      </c>
      <c r="L107" s="73" t="e">
        <f t="shared" si="770"/>
        <v>#REF!</v>
      </c>
      <c r="M107" s="59">
        <v>4238</v>
      </c>
      <c r="N107" s="59">
        <v>1134</v>
      </c>
      <c r="O107" s="73">
        <v>33371</v>
      </c>
      <c r="P107" s="59">
        <f t="shared" si="757"/>
        <v>20022.599999999999</v>
      </c>
      <c r="Q107" s="59">
        <f t="shared" si="758"/>
        <v>0</v>
      </c>
      <c r="R107" s="59">
        <f t="shared" si="759"/>
        <v>0</v>
      </c>
      <c r="S107" s="59">
        <f t="shared" si="760"/>
        <v>20022.599999999999</v>
      </c>
      <c r="T107" s="59">
        <f t="shared" si="761"/>
        <v>0</v>
      </c>
      <c r="U107" s="59">
        <f t="shared" si="762"/>
        <v>0</v>
      </c>
      <c r="V107" s="59">
        <v>4668</v>
      </c>
      <c r="W107" s="59">
        <f t="shared" si="786"/>
        <v>2334</v>
      </c>
      <c r="X107" s="59">
        <v>10988</v>
      </c>
      <c r="Y107" s="59">
        <f t="shared" si="771"/>
        <v>0</v>
      </c>
      <c r="Z107" s="59"/>
      <c r="AA107" s="59"/>
      <c r="AB107" s="59"/>
      <c r="AC107" s="59">
        <v>988</v>
      </c>
      <c r="AD107" s="59">
        <f t="shared" si="772"/>
        <v>2767.5221277652299</v>
      </c>
      <c r="AE107" s="59">
        <v>11318.610000000001</v>
      </c>
      <c r="AF107" s="62">
        <f t="shared" si="773"/>
        <v>0.70032531765267803</v>
      </c>
      <c r="AG107" s="62">
        <f t="shared" si="774"/>
        <v>2.6639674758190202</v>
      </c>
      <c r="AH107" s="62">
        <f t="shared" si="787"/>
        <v>1.3319837379095101</v>
      </c>
      <c r="AI107" s="59">
        <f t="shared" si="775"/>
        <v>397.03369844753502</v>
      </c>
      <c r="AJ107" s="59"/>
      <c r="AK107" s="59"/>
      <c r="AL107" s="59">
        <v>3972.9000000000001</v>
      </c>
      <c r="AM107" s="59">
        <v>8</v>
      </c>
      <c r="AN107" s="62">
        <v>1</v>
      </c>
      <c r="AO107" s="59">
        <f t="shared" si="776"/>
        <v>447.481641103333</v>
      </c>
      <c r="AP107" s="59"/>
      <c r="AQ107" s="59"/>
      <c r="AR107" s="59">
        <v>12180</v>
      </c>
      <c r="AS107" s="59">
        <f t="shared" si="777"/>
        <v>166.842687071336</v>
      </c>
      <c r="AT107" s="189">
        <v>0.3548</v>
      </c>
      <c r="AU107" s="59">
        <f t="shared" si="778"/>
        <v>257.62079786932799</v>
      </c>
      <c r="AV107" s="59">
        <v>1</v>
      </c>
      <c r="AW107" s="59">
        <f t="shared" si="698"/>
        <v>1000</v>
      </c>
      <c r="AX107" s="59"/>
      <c r="AY107" s="62">
        <v>76.120000000000005</v>
      </c>
      <c r="AZ107" s="62" t="s">
        <v>440</v>
      </c>
      <c r="BA107" s="59"/>
      <c r="BB107" s="59" t="s">
        <v>441</v>
      </c>
      <c r="BC107" s="59">
        <v>800</v>
      </c>
      <c r="BD107" s="62">
        <v>33.005281028546499</v>
      </c>
      <c r="BE107" s="59">
        <f t="shared" si="779"/>
        <v>413.65995895044102</v>
      </c>
      <c r="BF107" s="62" t="e">
        <f>VLOOKUP(B107,'2022年项目库建设情况'!B:O,14,0)</f>
        <v>#N/A</v>
      </c>
      <c r="BG107" s="59" t="e">
        <f t="shared" si="780"/>
        <v>#N/A</v>
      </c>
      <c r="BH107" s="53" t="e">
        <f>ROUND(AI107+AD107+#REF!+#REF!+BE107+BG107,0)</f>
        <v>#REF!</v>
      </c>
      <c r="BI107" s="59" t="e">
        <f t="shared" si="781"/>
        <v>#REF!</v>
      </c>
      <c r="BJ107" s="167" t="e">
        <f t="shared" si="782"/>
        <v>#REF!</v>
      </c>
      <c r="BK107" s="170">
        <f t="shared" si="783"/>
        <v>6250.1609112072001</v>
      </c>
      <c r="BL107" s="59">
        <v>4238</v>
      </c>
      <c r="BM107" s="59">
        <f t="shared" si="784"/>
        <v>3848.36484108992</v>
      </c>
      <c r="BN107" s="59">
        <f t="shared" si="785"/>
        <v>2401.7960701172801</v>
      </c>
      <c r="BO107" s="43">
        <f t="shared" si="706"/>
        <v>0.62410820420993496</v>
      </c>
    </row>
    <row r="108" ht="17" customHeight="1">
      <c r="A108" s="46">
        <v>70</v>
      </c>
      <c r="B108" s="82" t="s">
        <v>152</v>
      </c>
      <c r="C108" s="46" t="s">
        <v>90</v>
      </c>
      <c r="D108" s="46">
        <v>2019</v>
      </c>
      <c r="E108" s="46" t="s">
        <v>91</v>
      </c>
      <c r="F108" s="46"/>
      <c r="G108" s="73" t="e">
        <f>VLOOKUP(B:B,#REF!,2,0)</f>
        <v>#REF!</v>
      </c>
      <c r="H108" s="73" t="e">
        <f t="shared" si="768"/>
        <v>#REF!</v>
      </c>
      <c r="I108" s="59" t="e">
        <f>VLOOKUP(B108,#REF!,4,0)</f>
        <v>#REF!</v>
      </c>
      <c r="J108" s="59" t="e">
        <f>VLOOKUP(B108,#REF!,2,0)</f>
        <v>#REF!</v>
      </c>
      <c r="K108" s="73" t="e">
        <f t="shared" si="769"/>
        <v>#REF!</v>
      </c>
      <c r="L108" s="73" t="e">
        <f t="shared" si="770"/>
        <v>#REF!</v>
      </c>
      <c r="M108" s="59">
        <v>9866</v>
      </c>
      <c r="N108" s="59">
        <v>1648</v>
      </c>
      <c r="O108" s="73">
        <v>60317</v>
      </c>
      <c r="P108" s="59">
        <f t="shared" si="757"/>
        <v>48253.599999999999</v>
      </c>
      <c r="Q108" s="59">
        <f t="shared" si="758"/>
        <v>0</v>
      </c>
      <c r="R108" s="59">
        <f t="shared" si="759"/>
        <v>0</v>
      </c>
      <c r="S108" s="59">
        <f t="shared" si="760"/>
        <v>0</v>
      </c>
      <c r="T108" s="59">
        <f t="shared" si="761"/>
        <v>48253.599999999999</v>
      </c>
      <c r="U108" s="59">
        <f t="shared" si="762"/>
        <v>0</v>
      </c>
      <c r="V108" s="59">
        <v>9511</v>
      </c>
      <c r="W108" s="59">
        <f t="shared" si="788"/>
        <v>9511</v>
      </c>
      <c r="X108" s="59">
        <v>8913</v>
      </c>
      <c r="Y108" s="59">
        <f t="shared" si="771"/>
        <v>0</v>
      </c>
      <c r="Z108" s="59"/>
      <c r="AA108" s="59"/>
      <c r="AB108" s="59"/>
      <c r="AC108" s="59">
        <v>2232</v>
      </c>
      <c r="AD108" s="59">
        <f t="shared" si="772"/>
        <v>4952.3700236433497</v>
      </c>
      <c r="AE108" s="59">
        <v>11682.860000000001</v>
      </c>
      <c r="AF108" s="62">
        <f t="shared" si="773"/>
        <v>0.64154706617051405</v>
      </c>
      <c r="AG108" s="62">
        <f t="shared" si="774"/>
        <v>4.4797948536554699</v>
      </c>
      <c r="AH108" s="62">
        <f t="shared" si="789"/>
        <v>4.4797948536554699</v>
      </c>
      <c r="AI108" s="59">
        <f t="shared" si="775"/>
        <v>1335.3237493909201</v>
      </c>
      <c r="AJ108" s="59">
        <f t="shared" si="790"/>
        <v>48253.599999999999</v>
      </c>
      <c r="AK108" s="59">
        <f t="shared" si="791"/>
        <v>34.329802102215403</v>
      </c>
      <c r="AL108" s="59">
        <v>12501</v>
      </c>
      <c r="AM108" s="59">
        <v>36</v>
      </c>
      <c r="AN108" s="62">
        <v>0.78000000000000003</v>
      </c>
      <c r="AO108" s="59">
        <f t="shared" si="776"/>
        <v>1408.03141167227</v>
      </c>
      <c r="AP108" s="59"/>
      <c r="AQ108" s="59"/>
      <c r="AR108" s="59">
        <v>29565</v>
      </c>
      <c r="AS108" s="59">
        <f t="shared" si="777"/>
        <v>404.98391159803202</v>
      </c>
      <c r="AT108" s="189">
        <v>0.56799999999999995</v>
      </c>
      <c r="AU108" s="59">
        <f t="shared" si="778"/>
        <v>412.42562905800003</v>
      </c>
      <c r="AV108" s="59">
        <v>2</v>
      </c>
      <c r="AW108" s="59">
        <f t="shared" si="698"/>
        <v>2000</v>
      </c>
      <c r="AX108" s="59"/>
      <c r="AY108" s="62">
        <v>76.379999999999995</v>
      </c>
      <c r="AZ108" s="62" t="s">
        <v>440</v>
      </c>
      <c r="BA108" s="59"/>
      <c r="BB108" s="59" t="s">
        <v>443</v>
      </c>
      <c r="BC108" s="59"/>
      <c r="BD108" s="62">
        <v>33.173613905561297</v>
      </c>
      <c r="BE108" s="59">
        <f t="shared" si="779"/>
        <v>415.76969923520699</v>
      </c>
      <c r="BF108" s="62" t="e">
        <f>VLOOKUP(B108,'2022年项目库建设情况'!B:O,14,0)</f>
        <v>#N/A</v>
      </c>
      <c r="BG108" s="59" t="e">
        <f t="shared" si="780"/>
        <v>#N/A</v>
      </c>
      <c r="BH108" s="53" t="e">
        <f>ROUND(AI108+AD108+#REF!+#REF!+BE108+BG108,0)</f>
        <v>#REF!</v>
      </c>
      <c r="BI108" s="59" t="e">
        <f t="shared" si="781"/>
        <v>#REF!</v>
      </c>
      <c r="BJ108" s="167" t="e">
        <f t="shared" si="782"/>
        <v>#REF!</v>
      </c>
      <c r="BK108" s="170">
        <f t="shared" si="783"/>
        <v>10928.9044245978</v>
      </c>
      <c r="BL108" s="59">
        <v>9866</v>
      </c>
      <c r="BM108" s="59">
        <f t="shared" si="784"/>
        <v>8958.9352341182494</v>
      </c>
      <c r="BN108" s="59">
        <f t="shared" si="785"/>
        <v>1969.96919047953</v>
      </c>
      <c r="BO108" s="43">
        <f t="shared" si="706"/>
        <v>0.21988876345230299</v>
      </c>
    </row>
    <row r="109" ht="17" customHeight="1">
      <c r="A109" s="46">
        <v>71</v>
      </c>
      <c r="B109" s="82" t="s">
        <v>155</v>
      </c>
      <c r="C109" s="46" t="s">
        <v>93</v>
      </c>
      <c r="D109" s="46">
        <v>2019</v>
      </c>
      <c r="E109" s="46" t="s">
        <v>91</v>
      </c>
      <c r="F109" s="46" t="s">
        <v>146</v>
      </c>
      <c r="G109" s="73" t="e">
        <f>VLOOKUP(B:B,#REF!,2,0)</f>
        <v>#REF!</v>
      </c>
      <c r="H109" s="73" t="e">
        <f t="shared" si="768"/>
        <v>#REF!</v>
      </c>
      <c r="I109" s="59" t="e">
        <f>VLOOKUP(B109,#REF!,4,0)</f>
        <v>#REF!</v>
      </c>
      <c r="J109" s="59" t="e">
        <f>VLOOKUP(B109,#REF!,2,0)</f>
        <v>#REF!</v>
      </c>
      <c r="K109" s="73" t="e">
        <f t="shared" si="769"/>
        <v>#REF!</v>
      </c>
      <c r="L109" s="73" t="e">
        <f t="shared" si="770"/>
        <v>#REF!</v>
      </c>
      <c r="M109" s="59">
        <v>12424</v>
      </c>
      <c r="N109" s="59">
        <v>3791</v>
      </c>
      <c r="O109" s="73">
        <v>35696</v>
      </c>
      <c r="P109" s="59">
        <f t="shared" si="757"/>
        <v>28556.799999999999</v>
      </c>
      <c r="Q109" s="59">
        <f t="shared" si="758"/>
        <v>0</v>
      </c>
      <c r="R109" s="59">
        <f t="shared" si="759"/>
        <v>0</v>
      </c>
      <c r="S109" s="59">
        <f t="shared" si="760"/>
        <v>0</v>
      </c>
      <c r="T109" s="59">
        <f t="shared" si="761"/>
        <v>28556.799999999999</v>
      </c>
      <c r="U109" s="59">
        <f t="shared" si="762"/>
        <v>0</v>
      </c>
      <c r="V109" s="59">
        <v>3264</v>
      </c>
      <c r="W109" s="59">
        <f t="shared" si="788"/>
        <v>3264</v>
      </c>
      <c r="X109" s="59">
        <v>9378</v>
      </c>
      <c r="Y109" s="59">
        <f t="shared" si="771"/>
        <v>0</v>
      </c>
      <c r="Z109" s="59"/>
      <c r="AA109" s="59"/>
      <c r="AB109" s="59"/>
      <c r="AC109" s="59">
        <v>838</v>
      </c>
      <c r="AD109" s="59">
        <f t="shared" si="772"/>
        <v>2806.9672037878299</v>
      </c>
      <c r="AE109" s="59">
        <v>12061.309999999999</v>
      </c>
      <c r="AF109" s="62">
        <f t="shared" si="773"/>
        <v>0.58047739074587501</v>
      </c>
      <c r="AG109" s="62">
        <f t="shared" si="774"/>
        <v>2.26153991434593</v>
      </c>
      <c r="AH109" s="62">
        <f t="shared" si="789"/>
        <v>2.26153991434593</v>
      </c>
      <c r="AI109" s="59">
        <f t="shared" si="775"/>
        <v>674.11300215174595</v>
      </c>
      <c r="AJ109" s="59">
        <f t="shared" si="790"/>
        <v>28556.799999999999</v>
      </c>
      <c r="AK109" s="59">
        <f t="shared" si="791"/>
        <v>20.3166042051276</v>
      </c>
      <c r="AL109" s="59">
        <v>1910.5999999999999</v>
      </c>
      <c r="AM109" s="59">
        <v>2</v>
      </c>
      <c r="AN109" s="62">
        <v>1</v>
      </c>
      <c r="AO109" s="59">
        <f t="shared" si="776"/>
        <v>215.197569405731</v>
      </c>
      <c r="AP109" s="59"/>
      <c r="AQ109" s="59"/>
      <c r="AR109" s="59">
        <v>16721</v>
      </c>
      <c r="AS109" s="59">
        <f t="shared" si="777"/>
        <v>229.045695444975</v>
      </c>
      <c r="AT109" s="189">
        <v>0.38919999999999999</v>
      </c>
      <c r="AU109" s="59">
        <f t="shared" si="778"/>
        <v>282.598688079883</v>
      </c>
      <c r="AV109" s="59"/>
      <c r="AW109" s="59">
        <f t="shared" si="698"/>
        <v>0</v>
      </c>
      <c r="AX109" s="59"/>
      <c r="AY109" s="62">
        <v>81.329999999999998</v>
      </c>
      <c r="AZ109" s="62" t="s">
        <v>442</v>
      </c>
      <c r="BA109" s="59">
        <v>800</v>
      </c>
      <c r="BB109" s="59" t="s">
        <v>443</v>
      </c>
      <c r="BC109" s="59"/>
      <c r="BD109" s="62">
        <v>34.752521430888699</v>
      </c>
      <c r="BE109" s="59">
        <f t="shared" si="779"/>
        <v>435.55837552457302</v>
      </c>
      <c r="BF109" s="62" t="e">
        <f>VLOOKUP(B109,'2022年项目库建设情况'!B:O,14,0)</f>
        <v>#N/A</v>
      </c>
      <c r="BG109" s="59" t="e">
        <f t="shared" si="780"/>
        <v>#N/A</v>
      </c>
      <c r="BH109" s="53" t="e">
        <f>ROUND(AI109+AD109+#REF!+#REF!+BE109+BG109,0)</f>
        <v>#REF!</v>
      </c>
      <c r="BI109" s="59" t="e">
        <f t="shared" si="781"/>
        <v>#REF!</v>
      </c>
      <c r="BJ109" s="167" t="e">
        <f t="shared" si="782"/>
        <v>#REF!</v>
      </c>
      <c r="BK109" s="170">
        <f t="shared" si="783"/>
        <v>5443.4805343947401</v>
      </c>
      <c r="BL109" s="59">
        <v>12424</v>
      </c>
      <c r="BM109" s="59">
        <f t="shared" si="784"/>
        <v>11281.756674304201</v>
      </c>
      <c r="BN109" s="59">
        <f t="shared" si="785"/>
        <v>-5838.2761399094497</v>
      </c>
      <c r="BO109" s="43">
        <f t="shared" si="706"/>
        <v>-0.517497080326769</v>
      </c>
    </row>
    <row r="110" ht="17" customHeight="1">
      <c r="A110" s="46">
        <v>72</v>
      </c>
      <c r="B110" s="82" t="s">
        <v>157</v>
      </c>
      <c r="C110" s="46" t="s">
        <v>93</v>
      </c>
      <c r="D110" s="46">
        <v>2020</v>
      </c>
      <c r="E110" s="46" t="s">
        <v>94</v>
      </c>
      <c r="F110" s="46" t="s">
        <v>146</v>
      </c>
      <c r="G110" s="73" t="e">
        <f>VLOOKUP(B:B,#REF!,2,0)</f>
        <v>#REF!</v>
      </c>
      <c r="H110" s="73" t="e">
        <f t="shared" si="768"/>
        <v>#REF!</v>
      </c>
      <c r="I110" s="59" t="e">
        <f>VLOOKUP(B110,#REF!,4,0)</f>
        <v>#REF!</v>
      </c>
      <c r="J110" s="59" t="e">
        <f>VLOOKUP(B110,#REF!,2,0)</f>
        <v>#REF!</v>
      </c>
      <c r="K110" s="73" t="e">
        <f t="shared" si="769"/>
        <v>#REF!</v>
      </c>
      <c r="L110" s="73" t="e">
        <f t="shared" si="770"/>
        <v>#REF!</v>
      </c>
      <c r="M110" s="59">
        <v>33991</v>
      </c>
      <c r="N110" s="59">
        <v>5787</v>
      </c>
      <c r="O110" s="73">
        <v>196287</v>
      </c>
      <c r="P110" s="59">
        <f t="shared" si="757"/>
        <v>196287</v>
      </c>
      <c r="Q110" s="59">
        <f t="shared" si="758"/>
        <v>0</v>
      </c>
      <c r="R110" s="59">
        <f t="shared" si="759"/>
        <v>0</v>
      </c>
      <c r="S110" s="59">
        <f t="shared" si="760"/>
        <v>0</v>
      </c>
      <c r="T110" s="59">
        <f t="shared" si="761"/>
        <v>0</v>
      </c>
      <c r="U110" s="59">
        <f t="shared" si="762"/>
        <v>196287</v>
      </c>
      <c r="V110" s="59">
        <v>32467</v>
      </c>
      <c r="W110" s="59">
        <f t="shared" si="788"/>
        <v>32467</v>
      </c>
      <c r="X110" s="59">
        <v>17210</v>
      </c>
      <c r="Y110" s="59">
        <f t="shared" si="771"/>
        <v>0</v>
      </c>
      <c r="Z110" s="59"/>
      <c r="AA110" s="59"/>
      <c r="AB110" s="59"/>
      <c r="AC110" s="59">
        <v>2533</v>
      </c>
      <c r="AD110" s="59">
        <f t="shared" si="772"/>
        <v>14084.289823064501</v>
      </c>
      <c r="AE110" s="59">
        <v>11840.91</v>
      </c>
      <c r="AF110" s="62">
        <f t="shared" si="773"/>
        <v>0.61604287221922804</v>
      </c>
      <c r="AG110" s="62">
        <f t="shared" si="774"/>
        <v>14.092227119163701</v>
      </c>
      <c r="AH110" s="62">
        <f t="shared" si="789"/>
        <v>14.092227119163701</v>
      </c>
      <c r="AI110" s="59">
        <f t="shared" si="775"/>
        <v>4200.5685904735301</v>
      </c>
      <c r="AJ110" s="59">
        <f t="shared" si="790"/>
        <v>196287</v>
      </c>
      <c r="AK110" s="59">
        <f t="shared" si="791"/>
        <v>139.647484648556</v>
      </c>
      <c r="AL110" s="59">
        <v>61435.459999999999</v>
      </c>
      <c r="AM110" s="59">
        <v>31</v>
      </c>
      <c r="AN110" s="62">
        <v>0.97077488985003402</v>
      </c>
      <c r="AO110" s="59">
        <f t="shared" si="776"/>
        <v>6919.6910223610403</v>
      </c>
      <c r="AP110" s="59"/>
      <c r="AQ110" s="59"/>
      <c r="AR110" s="59">
        <v>87314</v>
      </c>
      <c r="AS110" s="59">
        <f t="shared" si="777"/>
        <v>1196.0346780744301</v>
      </c>
      <c r="AT110" s="189">
        <v>1.8962000000000001</v>
      </c>
      <c r="AU110" s="59">
        <f t="shared" si="778"/>
        <v>1376.83358771088</v>
      </c>
      <c r="AV110" s="59"/>
      <c r="AW110" s="59">
        <f>AV110*1500</f>
        <v>0</v>
      </c>
      <c r="AX110" s="59">
        <v>1867</v>
      </c>
      <c r="AY110" s="62">
        <v>80.010000000000005</v>
      </c>
      <c r="AZ110" s="62" t="s">
        <v>442</v>
      </c>
      <c r="BA110" s="59">
        <v>800</v>
      </c>
      <c r="BB110" s="59" t="s">
        <v>443</v>
      </c>
      <c r="BC110" s="59"/>
      <c r="BD110" s="62">
        <v>33.653087106869997</v>
      </c>
      <c r="BE110" s="59">
        <f t="shared" si="779"/>
        <v>421.77900618822599</v>
      </c>
      <c r="BF110" s="62" t="e">
        <f>VLOOKUP(B110,'2022年项目库建设情况'!B:O,14,0)</f>
        <v>#N/A</v>
      </c>
      <c r="BG110" s="59" t="e">
        <f t="shared" si="780"/>
        <v>#N/A</v>
      </c>
      <c r="BH110" s="53" t="e">
        <f>ROUND(AI110+AD110+#REF!+#REF!+BE110+BG110,0)</f>
        <v>#REF!</v>
      </c>
      <c r="BI110" s="59" t="e">
        <f t="shared" si="781"/>
        <v>#REF!</v>
      </c>
      <c r="BJ110" s="167" t="e">
        <f t="shared" si="782"/>
        <v>#REF!</v>
      </c>
      <c r="BK110" s="170">
        <f t="shared" si="783"/>
        <v>30866.196707872601</v>
      </c>
      <c r="BL110" s="59">
        <v>33991</v>
      </c>
      <c r="BM110" s="59">
        <f t="shared" si="784"/>
        <v>30865.920083409001</v>
      </c>
      <c r="BN110" s="59">
        <f t="shared" si="785"/>
        <v>0.27662446360045601</v>
      </c>
      <c r="BO110" s="43">
        <f t="shared" si="706"/>
        <v>8.9621324377479394e-006</v>
      </c>
    </row>
    <row r="111" ht="17" customHeight="1">
      <c r="A111" s="46">
        <v>73</v>
      </c>
      <c r="B111" s="82" t="s">
        <v>156</v>
      </c>
      <c r="C111" s="46" t="s">
        <v>90</v>
      </c>
      <c r="D111" s="46">
        <v>2018</v>
      </c>
      <c r="E111" s="46" t="s">
        <v>91</v>
      </c>
      <c r="F111" s="46" t="s">
        <v>146</v>
      </c>
      <c r="G111" s="73" t="e">
        <f>VLOOKUP(B:B,#REF!,2,0)</f>
        <v>#REF!</v>
      </c>
      <c r="H111" s="73" t="e">
        <f t="shared" si="768"/>
        <v>#REF!</v>
      </c>
      <c r="I111" s="59" t="e">
        <f>VLOOKUP(B111,#REF!,4,0)</f>
        <v>#REF!</v>
      </c>
      <c r="J111" s="59" t="e">
        <f>VLOOKUP(B111,#REF!,2,0)</f>
        <v>#REF!</v>
      </c>
      <c r="K111" s="73" t="e">
        <f t="shared" si="769"/>
        <v>#REF!</v>
      </c>
      <c r="L111" s="73" t="e">
        <f t="shared" si="770"/>
        <v>#REF!</v>
      </c>
      <c r="M111" s="59">
        <v>9972</v>
      </c>
      <c r="N111" s="59">
        <v>4890</v>
      </c>
      <c r="O111" s="73">
        <v>28213</v>
      </c>
      <c r="P111" s="59">
        <f t="shared" si="757"/>
        <v>16927.799999999999</v>
      </c>
      <c r="Q111" s="59">
        <f t="shared" si="758"/>
        <v>0</v>
      </c>
      <c r="R111" s="59">
        <f t="shared" si="759"/>
        <v>0</v>
      </c>
      <c r="S111" s="59">
        <f t="shared" si="760"/>
        <v>16927.799999999999</v>
      </c>
      <c r="T111" s="59">
        <f t="shared" si="761"/>
        <v>0</v>
      </c>
      <c r="U111" s="59">
        <f t="shared" si="762"/>
        <v>0</v>
      </c>
      <c r="V111" s="59">
        <v>3605</v>
      </c>
      <c r="W111" s="59">
        <f t="shared" si="788"/>
        <v>3605</v>
      </c>
      <c r="X111" s="59">
        <v>214</v>
      </c>
      <c r="Y111" s="59">
        <f t="shared" si="771"/>
        <v>0</v>
      </c>
      <c r="Z111" s="59"/>
      <c r="AA111" s="59"/>
      <c r="AB111" s="59"/>
      <c r="AC111" s="59">
        <v>356</v>
      </c>
      <c r="AD111" s="59">
        <f t="shared" si="772"/>
        <v>1606.3313927346401</v>
      </c>
      <c r="AE111" s="59">
        <v>13102.719999999999</v>
      </c>
      <c r="AF111" s="62">
        <f t="shared" si="773"/>
        <v>0.41242726342661501</v>
      </c>
      <c r="AG111" s="62">
        <f t="shared" si="774"/>
        <v>1.3122610667707999</v>
      </c>
      <c r="AH111" s="62">
        <f t="shared" si="789"/>
        <v>1.3122610667707999</v>
      </c>
      <c r="AI111" s="59">
        <f t="shared" si="775"/>
        <v>391.15482407196998</v>
      </c>
      <c r="AJ111" s="59">
        <f t="shared" si="790"/>
        <v>16927.799999999999</v>
      </c>
      <c r="AK111" s="59">
        <f t="shared" si="791"/>
        <v>12.043205564473601</v>
      </c>
      <c r="AL111" s="59">
        <v>3112.7800000000002</v>
      </c>
      <c r="AM111" s="59">
        <v>2</v>
      </c>
      <c r="AN111" s="62">
        <v>0.80823221508446397</v>
      </c>
      <c r="AO111" s="59">
        <f t="shared" si="776"/>
        <v>350.603313144965</v>
      </c>
      <c r="AP111" s="59"/>
      <c r="AQ111" s="59"/>
      <c r="AR111" s="59">
        <v>9138</v>
      </c>
      <c r="AS111" s="59">
        <f t="shared" si="777"/>
        <v>125.17310956140101</v>
      </c>
      <c r="AT111" s="189">
        <v>0.31130000000000002</v>
      </c>
      <c r="AU111" s="59">
        <f t="shared" si="778"/>
        <v>226.03538437633</v>
      </c>
      <c r="AV111" s="59"/>
      <c r="AW111" s="59">
        <f t="shared" ref="AW111:AW112" si="792">AV111*1000</f>
        <v>0</v>
      </c>
      <c r="AX111" s="59"/>
      <c r="AY111" s="62">
        <v>85.299999999999997</v>
      </c>
      <c r="AZ111" s="62" t="s">
        <v>442</v>
      </c>
      <c r="BA111" s="59">
        <v>800</v>
      </c>
      <c r="BB111" s="59" t="s">
        <v>443</v>
      </c>
      <c r="BC111" s="59"/>
      <c r="BD111" s="62">
        <v>33.725333932763697</v>
      </c>
      <c r="BE111" s="59">
        <f t="shared" si="779"/>
        <v>422.68448610241398</v>
      </c>
      <c r="BF111" s="62" t="e">
        <f>VLOOKUP(B111,'2022年项目库建设情况'!B:O,14,0)</f>
        <v>#N/A</v>
      </c>
      <c r="BG111" s="59" t="e">
        <f t="shared" si="780"/>
        <v>#N/A</v>
      </c>
      <c r="BH111" s="53" t="e">
        <f>ROUND(AI111+AD111+#REF!+#REF!+BE111+BG111,0)</f>
        <v>#REF!</v>
      </c>
      <c r="BI111" s="59" t="e">
        <f t="shared" si="781"/>
        <v>#REF!</v>
      </c>
      <c r="BJ111" s="167" t="e">
        <f t="shared" si="782"/>
        <v>#REF!</v>
      </c>
      <c r="BK111" s="170">
        <f t="shared" si="783"/>
        <v>3921.9825099917198</v>
      </c>
      <c r="BL111" s="59">
        <v>9972</v>
      </c>
      <c r="BM111" s="59">
        <f t="shared" si="784"/>
        <v>9055.1897582228994</v>
      </c>
      <c r="BN111" s="59">
        <f t="shared" si="785"/>
        <v>-5133.2072482311896</v>
      </c>
      <c r="BO111" s="43">
        <f t="shared" si="706"/>
        <v>-0.56688014114445096</v>
      </c>
    </row>
    <row r="112" ht="17" customHeight="1">
      <c r="A112" s="46">
        <v>74</v>
      </c>
      <c r="B112" s="82" t="s">
        <v>158</v>
      </c>
      <c r="C112" s="46" t="s">
        <v>90</v>
      </c>
      <c r="D112" s="46">
        <v>2018</v>
      </c>
      <c r="E112" s="46" t="s">
        <v>91</v>
      </c>
      <c r="F112" s="46" t="s">
        <v>146</v>
      </c>
      <c r="G112" s="73" t="e">
        <f>VLOOKUP(B:B,#REF!,2,0)</f>
        <v>#REF!</v>
      </c>
      <c r="H112" s="73" t="e">
        <f t="shared" si="768"/>
        <v>#REF!</v>
      </c>
      <c r="I112" s="59" t="e">
        <f>VLOOKUP(B112,#REF!,4,0)</f>
        <v>#REF!</v>
      </c>
      <c r="J112" s="59" t="e">
        <f>VLOOKUP(B112,#REF!,2,0)</f>
        <v>#REF!</v>
      </c>
      <c r="K112" s="73" t="e">
        <f t="shared" si="769"/>
        <v>#REF!</v>
      </c>
      <c r="L112" s="73" t="e">
        <f t="shared" si="770"/>
        <v>#REF!</v>
      </c>
      <c r="M112" s="59">
        <v>11972</v>
      </c>
      <c r="N112" s="59">
        <v>3659</v>
      </c>
      <c r="O112" s="73">
        <v>29707</v>
      </c>
      <c r="P112" s="59">
        <f t="shared" si="757"/>
        <v>17824.200000000001</v>
      </c>
      <c r="Q112" s="59">
        <f t="shared" si="758"/>
        <v>0</v>
      </c>
      <c r="R112" s="59">
        <f t="shared" si="759"/>
        <v>0</v>
      </c>
      <c r="S112" s="59">
        <f t="shared" si="760"/>
        <v>17824.200000000001</v>
      </c>
      <c r="T112" s="59">
        <f t="shared" si="761"/>
        <v>0</v>
      </c>
      <c r="U112" s="59">
        <f t="shared" si="762"/>
        <v>0</v>
      </c>
      <c r="V112" s="59">
        <v>4444</v>
      </c>
      <c r="W112" s="59">
        <f t="shared" si="788"/>
        <v>4444</v>
      </c>
      <c r="X112" s="59">
        <v>218</v>
      </c>
      <c r="Y112" s="59">
        <f t="shared" si="771"/>
        <v>0</v>
      </c>
      <c r="Z112" s="59"/>
      <c r="AA112" s="59"/>
      <c r="AB112" s="59"/>
      <c r="AC112" s="59">
        <v>485</v>
      </c>
      <c r="AD112" s="59">
        <f t="shared" si="772"/>
        <v>1832.2584812329101</v>
      </c>
      <c r="AE112" s="59">
        <v>11726.4</v>
      </c>
      <c r="AF112" s="62">
        <f t="shared" si="773"/>
        <v>0.63452110853281096</v>
      </c>
      <c r="AG112" s="62">
        <f t="shared" si="774"/>
        <v>2.1669530377504</v>
      </c>
      <c r="AH112" s="62">
        <f t="shared" si="789"/>
        <v>2.1669530377504</v>
      </c>
      <c r="AI112" s="59">
        <f t="shared" si="775"/>
        <v>645.91883102900999</v>
      </c>
      <c r="AJ112" s="59">
        <f t="shared" si="790"/>
        <v>17824.200000000001</v>
      </c>
      <c r="AK112" s="59">
        <f t="shared" si="791"/>
        <v>12.6809452275127</v>
      </c>
      <c r="AL112" s="59">
        <v>1604.5999999999999</v>
      </c>
      <c r="AM112" s="59">
        <v>6</v>
      </c>
      <c r="AN112" s="62">
        <v>1</v>
      </c>
      <c r="AO112" s="59">
        <f t="shared" si="776"/>
        <v>180.731717716129</v>
      </c>
      <c r="AP112" s="59"/>
      <c r="AQ112" s="59"/>
      <c r="AR112" s="59">
        <v>16374</v>
      </c>
      <c r="AS112" s="59">
        <f t="shared" si="777"/>
        <v>224.292459614618</v>
      </c>
      <c r="AT112" s="189">
        <v>0.34689999999999999</v>
      </c>
      <c r="AU112" s="59">
        <f t="shared" si="778"/>
        <v>251.884596338416</v>
      </c>
      <c r="AV112" s="59"/>
      <c r="AW112" s="59">
        <f t="shared" si="792"/>
        <v>0</v>
      </c>
      <c r="AX112" s="59"/>
      <c r="AY112" s="62">
        <v>81.420000000000002</v>
      </c>
      <c r="AZ112" s="62" t="s">
        <v>442</v>
      </c>
      <c r="BA112" s="59">
        <v>800</v>
      </c>
      <c r="BB112" s="59" t="s">
        <v>443</v>
      </c>
      <c r="BC112" s="59"/>
      <c r="BD112" s="62">
        <v>33.690355179094702</v>
      </c>
      <c r="BE112" s="59">
        <f t="shared" si="779"/>
        <v>422.24609232554099</v>
      </c>
      <c r="BF112" s="62" t="e">
        <f>VLOOKUP(B112,'2022年项目库建设情况'!B:O,14,0)</f>
        <v>#N/A</v>
      </c>
      <c r="BG112" s="59" t="e">
        <f t="shared" si="780"/>
        <v>#N/A</v>
      </c>
      <c r="BH112" s="53" t="e">
        <f>ROUND(AI112+AD112+#REF!+#REF!+BE112+BG112,0)</f>
        <v>#REF!</v>
      </c>
      <c r="BI112" s="59" t="e">
        <f t="shared" si="781"/>
        <v>#REF!</v>
      </c>
      <c r="BJ112" s="167" t="e">
        <f t="shared" si="782"/>
        <v>#REF!</v>
      </c>
      <c r="BK112" s="170">
        <f t="shared" si="783"/>
        <v>4357.33217825662</v>
      </c>
      <c r="BL112" s="59">
        <v>11972</v>
      </c>
      <c r="BM112" s="59">
        <f t="shared" si="784"/>
        <v>10871.3128545372</v>
      </c>
      <c r="BN112" s="59">
        <f t="shared" si="785"/>
        <v>-6513.9806762805401</v>
      </c>
      <c r="BO112" s="43">
        <f t="shared" si="706"/>
        <v>-0.599189882900106</v>
      </c>
    </row>
    <row r="113" s="64" customFormat="1" ht="17" customHeight="1">
      <c r="A113" s="65"/>
      <c r="B113" s="66" t="s">
        <v>159</v>
      </c>
      <c r="C113" s="67">
        <v>1</v>
      </c>
      <c r="D113" s="67"/>
      <c r="E113" s="67"/>
      <c r="F113" s="68"/>
      <c r="G113" s="69" t="e">
        <f t="shared" ref="G113:M113" si="793">G114+G115</f>
        <v>#REF!</v>
      </c>
      <c r="H113" s="69" t="e">
        <f t="shared" si="793"/>
        <v>#REF!</v>
      </c>
      <c r="I113" s="69" t="e">
        <f t="shared" si="793"/>
        <v>#REF!</v>
      </c>
      <c r="J113" s="69" t="e">
        <f t="shared" si="793"/>
        <v>#REF!</v>
      </c>
      <c r="K113" s="69" t="e">
        <f t="shared" si="793"/>
        <v>#REF!</v>
      </c>
      <c r="L113" s="69" t="e">
        <f t="shared" si="793"/>
        <v>#REF!</v>
      </c>
      <c r="M113" s="69">
        <f t="shared" si="793"/>
        <v>25391</v>
      </c>
      <c r="N113" s="69">
        <v>8183</v>
      </c>
      <c r="O113" s="69">
        <f t="shared" ref="O113:AD113" si="794">O114+O115</f>
        <v>66152</v>
      </c>
      <c r="P113" s="69">
        <f t="shared" si="794"/>
        <v>28895.599999999999</v>
      </c>
      <c r="Q113" s="69">
        <f t="shared" si="794"/>
        <v>2629.5999999999999</v>
      </c>
      <c r="R113" s="69">
        <f t="shared" si="794"/>
        <v>11072.799999999999</v>
      </c>
      <c r="S113" s="69">
        <f t="shared" si="794"/>
        <v>15193.200000000001</v>
      </c>
      <c r="T113" s="69">
        <f t="shared" si="794"/>
        <v>0</v>
      </c>
      <c r="U113" s="69">
        <f t="shared" si="794"/>
        <v>0</v>
      </c>
      <c r="V113" s="69">
        <f t="shared" si="794"/>
        <v>8532</v>
      </c>
      <c r="W113" s="69">
        <f t="shared" si="794"/>
        <v>3651.9000000000001</v>
      </c>
      <c r="X113" s="69">
        <f t="shared" si="794"/>
        <v>753</v>
      </c>
      <c r="Y113" s="69">
        <f t="shared" si="794"/>
        <v>0</v>
      </c>
      <c r="Z113" s="69">
        <f t="shared" si="794"/>
        <v>0</v>
      </c>
      <c r="AA113" s="69">
        <f t="shared" si="794"/>
        <v>0</v>
      </c>
      <c r="AB113" s="69">
        <f t="shared" si="794"/>
        <v>0</v>
      </c>
      <c r="AC113" s="69">
        <f t="shared" si="794"/>
        <v>589</v>
      </c>
      <c r="AD113" s="69">
        <f t="shared" si="794"/>
        <v>2877.4984881424598</v>
      </c>
      <c r="AE113" s="69"/>
      <c r="AF113" s="69">
        <f t="shared" ref="AF113:AL113" si="795">AF114+AF115</f>
        <v>1.0181732510142001</v>
      </c>
      <c r="AG113" s="69">
        <f t="shared" si="795"/>
        <v>2.3200726103837002</v>
      </c>
      <c r="AH113" s="69">
        <f t="shared" si="795"/>
        <v>0.94770666530041903</v>
      </c>
      <c r="AI113" s="69">
        <f t="shared" si="795"/>
        <v>282.489546725357</v>
      </c>
      <c r="AJ113" s="69">
        <f t="shared" si="795"/>
        <v>0</v>
      </c>
      <c r="AK113" s="69">
        <f t="shared" si="795"/>
        <v>0</v>
      </c>
      <c r="AL113" s="69">
        <f t="shared" si="795"/>
        <v>1184.2</v>
      </c>
      <c r="AM113" s="69">
        <v>50</v>
      </c>
      <c r="AN113" s="71">
        <v>2.0920034393809099</v>
      </c>
      <c r="AO113" s="69">
        <f t="shared" ref="AO113:BA113" si="796">AO114+AO115</f>
        <v>133.38059336871501</v>
      </c>
      <c r="AP113" s="69">
        <f t="shared" si="796"/>
        <v>0</v>
      </c>
      <c r="AQ113" s="69"/>
      <c r="AR113" s="69">
        <f t="shared" si="796"/>
        <v>31376</v>
      </c>
      <c r="AS113" s="69">
        <f t="shared" si="796"/>
        <v>429.79114528327</v>
      </c>
      <c r="AT113" s="69">
        <f t="shared" si="796"/>
        <v>0.44</v>
      </c>
      <c r="AU113" s="69">
        <f t="shared" si="796"/>
        <v>319.48464222802801</v>
      </c>
      <c r="AV113" s="69">
        <f t="shared" si="796"/>
        <v>0</v>
      </c>
      <c r="AW113" s="69">
        <f t="shared" si="796"/>
        <v>0</v>
      </c>
      <c r="AX113" s="69">
        <f t="shared" si="796"/>
        <v>0</v>
      </c>
      <c r="AY113" s="69">
        <f t="shared" si="796"/>
        <v>229.97999999999999</v>
      </c>
      <c r="AZ113" s="69">
        <f t="shared" si="796"/>
        <v>0</v>
      </c>
      <c r="BA113" s="69">
        <f t="shared" si="796"/>
        <v>500</v>
      </c>
      <c r="BB113" s="69"/>
      <c r="BC113" s="69">
        <f t="shared" ref="BC113:BK113" si="797">BC114+BC115</f>
        <v>800</v>
      </c>
      <c r="BD113" s="71">
        <f t="shared" si="797"/>
        <v>70.347487028639307</v>
      </c>
      <c r="BE113" s="69">
        <f t="shared" si="797"/>
        <v>881.67522559086399</v>
      </c>
      <c r="BF113" s="71" t="e">
        <f t="shared" si="797"/>
        <v>#N/A</v>
      </c>
      <c r="BG113" s="69" t="e">
        <f t="shared" si="797"/>
        <v>#N/A</v>
      </c>
      <c r="BH113" s="70" t="e">
        <f t="shared" si="797"/>
        <v>#REF!</v>
      </c>
      <c r="BI113" s="70" t="e">
        <f t="shared" si="797"/>
        <v>#REF!</v>
      </c>
      <c r="BJ113" s="183" t="e">
        <f t="shared" si="797"/>
        <v>#REF!</v>
      </c>
      <c r="BK113" s="184">
        <f t="shared" si="797"/>
        <v>6224.3196413387004</v>
      </c>
      <c r="BL113" s="69">
        <v>25391</v>
      </c>
      <c r="BM113" s="184">
        <f>BM114+BM115</f>
        <v>23056.590769257698</v>
      </c>
      <c r="BN113" s="184">
        <f>BN114+BN115</f>
        <v>-16832.271127919001</v>
      </c>
      <c r="BO113" s="43">
        <f t="shared" si="706"/>
        <v>-0.73004163088856</v>
      </c>
      <c r="BP113" s="185"/>
    </row>
    <row r="114" s="5" customFormat="1" ht="30" customHeight="1">
      <c r="A114" s="44"/>
      <c r="B114" s="72" t="s">
        <v>160</v>
      </c>
      <c r="C114" s="46">
        <v>2</v>
      </c>
      <c r="D114" s="46"/>
      <c r="E114" s="46"/>
      <c r="F114" s="46"/>
      <c r="G114" s="73"/>
      <c r="H114" s="73"/>
      <c r="I114" s="73"/>
      <c r="J114" s="73"/>
      <c r="K114" s="73"/>
      <c r="L114" s="73"/>
      <c r="M114" s="73"/>
      <c r="N114" s="73"/>
      <c r="O114" s="73"/>
      <c r="P114" s="59">
        <f t="shared" ref="P114:P118" si="798">SUM(Q114:U114)</f>
        <v>0</v>
      </c>
      <c r="Q114" s="59">
        <f t="shared" ref="Q114:Q118" si="799">IF(D114="",O114*0.2,0)</f>
        <v>0</v>
      </c>
      <c r="R114" s="59">
        <f t="shared" ref="R114:R118" si="800">IF(D114=2017,O114*0.4,0)</f>
        <v>0</v>
      </c>
      <c r="S114" s="59">
        <f t="shared" ref="S114:S118" si="801">IF(D114=2018,O114*0.6,0)</f>
        <v>0</v>
      </c>
      <c r="T114" s="59">
        <f t="shared" ref="T114:T118" si="802">IF(D114=2019,O114*0.8,0)</f>
        <v>0</v>
      </c>
      <c r="U114" s="59">
        <f t="shared" ref="U114:U118" si="803">IF(D114=2020,O114*1,0)</f>
        <v>0</v>
      </c>
      <c r="V114" s="59"/>
      <c r="W114" s="59"/>
      <c r="X114" s="59"/>
      <c r="Y114" s="59">
        <f>T114*0.4+U114*0.6+V114*0.8+X114*1</f>
        <v>0</v>
      </c>
      <c r="Z114" s="59"/>
      <c r="AA114" s="59"/>
      <c r="AB114" s="59"/>
      <c r="AC114" s="59"/>
      <c r="AD114" s="59"/>
      <c r="AE114" s="59"/>
      <c r="AF114" s="62"/>
      <c r="AG114" s="62"/>
      <c r="AH114" s="62"/>
      <c r="AI114" s="59"/>
      <c r="AJ114" s="59"/>
      <c r="AK114" s="59"/>
      <c r="AL114" s="59"/>
      <c r="AM114" s="59"/>
      <c r="AN114" s="62"/>
      <c r="AO114" s="59"/>
      <c r="AP114" s="59"/>
      <c r="AQ114" s="59"/>
      <c r="AR114" s="59"/>
      <c r="AS114" s="59"/>
      <c r="AT114" s="59"/>
      <c r="AU114" s="59"/>
      <c r="AV114" s="59"/>
      <c r="AW114" s="59"/>
      <c r="AX114" s="59"/>
      <c r="AY114" s="62"/>
      <c r="AZ114" s="62"/>
      <c r="BA114" s="59"/>
      <c r="BB114" s="59"/>
      <c r="BC114" s="59"/>
      <c r="BD114" s="62"/>
      <c r="BE114" s="59"/>
      <c r="BF114" s="62"/>
      <c r="BG114" s="59"/>
      <c r="BH114" s="53"/>
      <c r="BI114" s="59"/>
      <c r="BJ114" s="182"/>
      <c r="BK114" s="170"/>
      <c r="BL114" s="73"/>
      <c r="BM114" s="170"/>
      <c r="BN114" s="50"/>
      <c r="BO114" s="43"/>
      <c r="BP114" s="4"/>
    </row>
    <row r="115" s="74" customFormat="1" ht="17" customHeight="1">
      <c r="A115" s="75"/>
      <c r="B115" s="76" t="s">
        <v>76</v>
      </c>
      <c r="C115" s="77">
        <v>3</v>
      </c>
      <c r="D115" s="77"/>
      <c r="E115" s="77"/>
      <c r="F115" s="78"/>
      <c r="G115" s="79" t="e">
        <f t="shared" ref="G115:M115" si="804">SUM(G116:G118)</f>
        <v>#REF!</v>
      </c>
      <c r="H115" s="79" t="e">
        <f t="shared" si="804"/>
        <v>#REF!</v>
      </c>
      <c r="I115" s="79" t="e">
        <f t="shared" si="804"/>
        <v>#REF!</v>
      </c>
      <c r="J115" s="79" t="e">
        <f t="shared" si="804"/>
        <v>#REF!</v>
      </c>
      <c r="K115" s="79" t="e">
        <f t="shared" si="804"/>
        <v>#REF!</v>
      </c>
      <c r="L115" s="79" t="e">
        <f t="shared" si="804"/>
        <v>#REF!</v>
      </c>
      <c r="M115" s="79">
        <f t="shared" si="804"/>
        <v>25391</v>
      </c>
      <c r="N115" s="79">
        <v>8183</v>
      </c>
      <c r="O115" s="79">
        <f t="shared" ref="O115:AD115" si="805">SUM(O116:O118)</f>
        <v>66152</v>
      </c>
      <c r="P115" s="79">
        <f t="shared" si="805"/>
        <v>28895.599999999999</v>
      </c>
      <c r="Q115" s="79">
        <f t="shared" si="805"/>
        <v>2629.5999999999999</v>
      </c>
      <c r="R115" s="79">
        <f t="shared" si="805"/>
        <v>11072.799999999999</v>
      </c>
      <c r="S115" s="79">
        <f t="shared" si="805"/>
        <v>15193.200000000001</v>
      </c>
      <c r="T115" s="79">
        <f t="shared" si="805"/>
        <v>0</v>
      </c>
      <c r="U115" s="79">
        <f t="shared" si="805"/>
        <v>0</v>
      </c>
      <c r="V115" s="79">
        <f t="shared" si="805"/>
        <v>8532</v>
      </c>
      <c r="W115" s="79">
        <f t="shared" si="805"/>
        <v>3651.9000000000001</v>
      </c>
      <c r="X115" s="79">
        <f t="shared" si="805"/>
        <v>753</v>
      </c>
      <c r="Y115" s="79">
        <f t="shared" si="805"/>
        <v>0</v>
      </c>
      <c r="Z115" s="79">
        <f t="shared" si="805"/>
        <v>0</v>
      </c>
      <c r="AA115" s="79">
        <f t="shared" si="805"/>
        <v>0</v>
      </c>
      <c r="AB115" s="79">
        <f t="shared" si="805"/>
        <v>0</v>
      </c>
      <c r="AC115" s="79">
        <f t="shared" si="805"/>
        <v>589</v>
      </c>
      <c r="AD115" s="79">
        <f t="shared" si="805"/>
        <v>2877.4984881424598</v>
      </c>
      <c r="AE115" s="79"/>
      <c r="AF115" s="79">
        <f t="shared" ref="AF115:AL115" si="806">SUM(AF116:AF118)</f>
        <v>1.0181732510142001</v>
      </c>
      <c r="AG115" s="79">
        <f t="shared" si="806"/>
        <v>2.3200726103837002</v>
      </c>
      <c r="AH115" s="79">
        <f t="shared" si="806"/>
        <v>0.94770666530041903</v>
      </c>
      <c r="AI115" s="79">
        <f t="shared" si="806"/>
        <v>282.489546725357</v>
      </c>
      <c r="AJ115" s="79">
        <f t="shared" si="806"/>
        <v>0</v>
      </c>
      <c r="AK115" s="79">
        <f t="shared" si="806"/>
        <v>0</v>
      </c>
      <c r="AL115" s="79">
        <f t="shared" si="806"/>
        <v>1184.2</v>
      </c>
      <c r="AM115" s="79">
        <v>50</v>
      </c>
      <c r="AN115" s="81">
        <v>2.0920034393809099</v>
      </c>
      <c r="AO115" s="79">
        <f t="shared" ref="AO115:BA115" si="807">SUM(AO116:AO118)</f>
        <v>133.38059336871501</v>
      </c>
      <c r="AP115" s="79">
        <f t="shared" si="807"/>
        <v>0</v>
      </c>
      <c r="AQ115" s="79"/>
      <c r="AR115" s="79">
        <f t="shared" si="807"/>
        <v>31376</v>
      </c>
      <c r="AS115" s="79">
        <f t="shared" si="807"/>
        <v>429.79114528327</v>
      </c>
      <c r="AT115" s="79">
        <f t="shared" si="807"/>
        <v>0.44</v>
      </c>
      <c r="AU115" s="79">
        <f t="shared" si="807"/>
        <v>319.48464222802801</v>
      </c>
      <c r="AV115" s="79">
        <f t="shared" si="807"/>
        <v>0</v>
      </c>
      <c r="AW115" s="79">
        <f t="shared" si="807"/>
        <v>0</v>
      </c>
      <c r="AX115" s="79">
        <f t="shared" si="807"/>
        <v>0</v>
      </c>
      <c r="AY115" s="79">
        <f t="shared" si="807"/>
        <v>229.97999999999999</v>
      </c>
      <c r="AZ115" s="79">
        <f t="shared" si="807"/>
        <v>0</v>
      </c>
      <c r="BA115" s="79">
        <f t="shared" si="807"/>
        <v>500</v>
      </c>
      <c r="BB115" s="79"/>
      <c r="BC115" s="79">
        <f t="shared" ref="BC115:BK115" si="808">SUM(BC116:BC118)</f>
        <v>800</v>
      </c>
      <c r="BD115" s="81">
        <f t="shared" si="808"/>
        <v>70.347487028639307</v>
      </c>
      <c r="BE115" s="79">
        <f t="shared" si="808"/>
        <v>881.67522559086399</v>
      </c>
      <c r="BF115" s="81" t="e">
        <f t="shared" si="808"/>
        <v>#N/A</v>
      </c>
      <c r="BG115" s="79" t="e">
        <f t="shared" si="808"/>
        <v>#N/A</v>
      </c>
      <c r="BH115" s="80" t="e">
        <f t="shared" si="808"/>
        <v>#REF!</v>
      </c>
      <c r="BI115" s="80" t="e">
        <f t="shared" si="808"/>
        <v>#REF!</v>
      </c>
      <c r="BJ115" s="186" t="e">
        <f t="shared" si="808"/>
        <v>#REF!</v>
      </c>
      <c r="BK115" s="187">
        <f t="shared" si="808"/>
        <v>6224.3196413387004</v>
      </c>
      <c r="BL115" s="79">
        <v>25391</v>
      </c>
      <c r="BM115" s="187">
        <f>SUM(BM116:BM118)</f>
        <v>23056.590769257698</v>
      </c>
      <c r="BN115" s="187">
        <f>SUM(BN116:BN118)</f>
        <v>-16832.271127919001</v>
      </c>
      <c r="BO115" s="43">
        <f t="shared" si="706"/>
        <v>-0.73004163088856</v>
      </c>
      <c r="BP115" s="188"/>
    </row>
    <row r="116" ht="17" customHeight="1">
      <c r="A116" s="46">
        <v>75</v>
      </c>
      <c r="B116" s="82" t="s">
        <v>161</v>
      </c>
      <c r="C116" s="46" t="s">
        <v>78</v>
      </c>
      <c r="D116" s="46"/>
      <c r="E116" s="46"/>
      <c r="F116" s="46" t="s">
        <v>146</v>
      </c>
      <c r="G116" s="73" t="e">
        <f>VLOOKUP(B:B,#REF!,2,0)</f>
        <v>#REF!</v>
      </c>
      <c r="H116" s="73" t="e">
        <f t="shared" ref="H116:H118" si="809">G116*299423/381298.76</f>
        <v>#REF!</v>
      </c>
      <c r="I116" s="59" t="e">
        <f>VLOOKUP(B116,#REF!,4,0)</f>
        <v>#REF!</v>
      </c>
      <c r="J116" s="59" t="e">
        <f>VLOOKUP(B116,#REF!,2,0)</f>
        <v>#REF!</v>
      </c>
      <c r="K116" s="73" t="e">
        <f t="shared" ref="K116:K118" si="810">I116*1485211/1408452</f>
        <v>#REF!</v>
      </c>
      <c r="L116" s="73" t="e">
        <f t="shared" ref="L116:L118" si="811">J116*1485211/1408452</f>
        <v>#REF!</v>
      </c>
      <c r="M116" s="59">
        <v>4943</v>
      </c>
      <c r="N116" s="59">
        <v>1298</v>
      </c>
      <c r="O116" s="73">
        <v>13148</v>
      </c>
      <c r="P116" s="59">
        <f t="shared" si="798"/>
        <v>2629.5999999999999</v>
      </c>
      <c r="Q116" s="59">
        <f t="shared" si="799"/>
        <v>2629.5999999999999</v>
      </c>
      <c r="R116" s="59">
        <f t="shared" si="800"/>
        <v>0</v>
      </c>
      <c r="S116" s="59">
        <f t="shared" si="801"/>
        <v>0</v>
      </c>
      <c r="T116" s="59">
        <f t="shared" si="802"/>
        <v>0</v>
      </c>
      <c r="U116" s="59">
        <f t="shared" si="803"/>
        <v>0</v>
      </c>
      <c r="V116" s="59">
        <v>2047</v>
      </c>
      <c r="W116" s="59">
        <f>V116*0.2</f>
        <v>409.39999999999998</v>
      </c>
      <c r="X116" s="59">
        <v>173</v>
      </c>
      <c r="Y116" s="59">
        <f t="shared" ref="Y116:Y118" si="812">Z116+AA116+AB116*1.2</f>
        <v>0</v>
      </c>
      <c r="Z116" s="59"/>
      <c r="AA116" s="59"/>
      <c r="AB116" s="59"/>
      <c r="AC116" s="59">
        <v>0</v>
      </c>
      <c r="AD116" s="59">
        <f t="shared" ref="AD116:AD118" si="813">O116/$O$9*202299+W116/$W$9*134866+AC116/$AC$9*34867+X116/$X$9*100000</f>
        <v>490.16313386811902</v>
      </c>
      <c r="AE116" s="59">
        <v>12772.040000000001</v>
      </c>
      <c r="AF116" s="62">
        <f t="shared" ref="AF116:AF118" si="814">($AE$64-AE116)/($AE$64-$AE$44)</f>
        <v>0.46578839506730702</v>
      </c>
      <c r="AG116" s="62">
        <f t="shared" ref="AG116:AG118" si="815">(O116+V116)*AF116/10000</f>
        <v>0.707765466304772</v>
      </c>
      <c r="AH116" s="62">
        <f>AG116*0.2</f>
        <v>0.141553093260954</v>
      </c>
      <c r="AI116" s="59">
        <f t="shared" ref="AI116:AI118" si="816">AH116/$AH$9*1348663*0.1</f>
        <v>42.193719446072997</v>
      </c>
      <c r="AJ116" s="59"/>
      <c r="AK116" s="59"/>
      <c r="AL116" s="59">
        <v>0</v>
      </c>
      <c r="AM116" s="59">
        <v>12</v>
      </c>
      <c r="AN116" s="62">
        <v>9.2003439380911406e-002</v>
      </c>
      <c r="AO116" s="59">
        <f t="shared" ref="AO116:AO118" si="817">(AL116/$AL$9*80000)</f>
        <v>0</v>
      </c>
      <c r="AP116" s="59"/>
      <c r="AQ116" s="59"/>
      <c r="AR116" s="59">
        <v>8628</v>
      </c>
      <c r="AS116" s="59">
        <f t="shared" ref="AS116:AS118" si="818">AR116/$AR$9*50000</f>
        <v>118.187085718513</v>
      </c>
      <c r="AT116" s="189">
        <v>0.14000000000000001</v>
      </c>
      <c r="AU116" s="59">
        <f t="shared" ref="AU116:AU118" si="819">AT116/$AT$9*50000</f>
        <v>101.654204345282</v>
      </c>
      <c r="AV116" s="59"/>
      <c r="AW116" s="59">
        <f>AV116*500</f>
        <v>0</v>
      </c>
      <c r="AX116" s="59"/>
      <c r="AY116" s="62">
        <v>86.760000000000005</v>
      </c>
      <c r="AZ116" s="62" t="s">
        <v>442</v>
      </c>
      <c r="BA116" s="59">
        <v>500</v>
      </c>
      <c r="BB116" s="59" t="s">
        <v>443</v>
      </c>
      <c r="BC116" s="59"/>
      <c r="BD116" s="62">
        <v>20.068132559667902</v>
      </c>
      <c r="BE116" s="59">
        <f t="shared" ref="BE116:BE118" si="820">BD116/$BD$9*42266</f>
        <v>251.516806769932</v>
      </c>
      <c r="BF116" s="62" t="e">
        <f>VLOOKUP(B116,'2022年项目库建设情况'!B:O,14,0)</f>
        <v>#N/A</v>
      </c>
      <c r="BG116" s="59" t="e">
        <f t="shared" ref="BG116:BG118" si="821">BF116/$BF$9*1348663*0.025</f>
        <v>#N/A</v>
      </c>
      <c r="BH116" s="53" t="e">
        <f>ROUND(AI116+AD116+#REF!+#REF!+BE116+BG116,0)</f>
        <v>#REF!</v>
      </c>
      <c r="BI116" s="59" t="e">
        <f t="shared" ref="BI116:BI118" si="822">N116-G116</f>
        <v>#REF!</v>
      </c>
      <c r="BJ116" s="167" t="e">
        <f t="shared" ref="BJ116:BJ118" si="823">BI116/G116</f>
        <v>#REF!</v>
      </c>
      <c r="BK116" s="170">
        <f t="shared" ref="BK116:BK118" si="824">AD116+AI116+AO116+AP116+AS116+AU116+AW116+AX116+BA116+BC116+BE116</f>
        <v>1503.71495014792</v>
      </c>
      <c r="BL116" s="59">
        <v>4943</v>
      </c>
      <c r="BM116" s="59">
        <f t="shared" ref="BM116:BM118" si="825">BL116/$BL$9*1348663</f>
        <v>4488.5482325407002</v>
      </c>
      <c r="BN116" s="59">
        <f t="shared" ref="BN116:BN118" si="826">BK116-BM116</f>
        <v>-2984.8332823927799</v>
      </c>
      <c r="BO116" s="43">
        <f t="shared" si="706"/>
        <v>-0.66498857264217104</v>
      </c>
    </row>
    <row r="117" ht="17" customHeight="1">
      <c r="A117" s="46">
        <v>76</v>
      </c>
      <c r="B117" s="82" t="s">
        <v>162</v>
      </c>
      <c r="C117" s="46" t="s">
        <v>90</v>
      </c>
      <c r="D117" s="46">
        <v>2017</v>
      </c>
      <c r="E117" s="46"/>
      <c r="F117" s="46" t="s">
        <v>146</v>
      </c>
      <c r="G117" s="73" t="e">
        <f>VLOOKUP(B:B,#REF!,2,0)</f>
        <v>#REF!</v>
      </c>
      <c r="H117" s="73" t="e">
        <f t="shared" si="809"/>
        <v>#REF!</v>
      </c>
      <c r="I117" s="59" t="e">
        <f>VLOOKUP(B117,#REF!,4,0)</f>
        <v>#REF!</v>
      </c>
      <c r="J117" s="59" t="e">
        <f>VLOOKUP(B117,#REF!,2,0)</f>
        <v>#REF!</v>
      </c>
      <c r="K117" s="73" t="e">
        <f t="shared" si="810"/>
        <v>#REF!</v>
      </c>
      <c r="L117" s="73" t="e">
        <f t="shared" si="811"/>
        <v>#REF!</v>
      </c>
      <c r="M117" s="59">
        <v>6857</v>
      </c>
      <c r="N117" s="59">
        <v>1946</v>
      </c>
      <c r="O117" s="73">
        <v>27682</v>
      </c>
      <c r="P117" s="59">
        <f t="shared" si="798"/>
        <v>11072.799999999999</v>
      </c>
      <c r="Q117" s="59">
        <f t="shared" si="799"/>
        <v>0</v>
      </c>
      <c r="R117" s="59">
        <f t="shared" si="800"/>
        <v>11072.799999999999</v>
      </c>
      <c r="S117" s="59">
        <f t="shared" si="801"/>
        <v>0</v>
      </c>
      <c r="T117" s="59">
        <f t="shared" si="802"/>
        <v>0</v>
      </c>
      <c r="U117" s="59">
        <f t="shared" si="803"/>
        <v>0</v>
      </c>
      <c r="V117" s="59">
        <v>3510</v>
      </c>
      <c r="W117" s="59">
        <f t="shared" ref="W117:W118" si="827">V117*0.5</f>
        <v>1755</v>
      </c>
      <c r="X117" s="59">
        <v>459</v>
      </c>
      <c r="Y117" s="59">
        <f t="shared" si="812"/>
        <v>0</v>
      </c>
      <c r="Z117" s="59"/>
      <c r="AA117" s="59"/>
      <c r="AB117" s="59"/>
      <c r="AC117" s="59">
        <v>50</v>
      </c>
      <c r="AD117" s="59">
        <f t="shared" si="813"/>
        <v>1212.57056443087</v>
      </c>
      <c r="AE117" s="59">
        <v>14604.860000000001</v>
      </c>
      <c r="AF117" s="62">
        <f t="shared" si="814"/>
        <v>0.170030111247019</v>
      </c>
      <c r="AG117" s="62">
        <f t="shared" si="815"/>
        <v>0.53035792300170104</v>
      </c>
      <c r="AH117" s="62">
        <f t="shared" ref="AH117:AH118" si="828">AG117*0.5</f>
        <v>0.26517896150085002</v>
      </c>
      <c r="AI117" s="59">
        <f t="shared" si="816"/>
        <v>79.043745684462394</v>
      </c>
      <c r="AJ117" s="59"/>
      <c r="AK117" s="59"/>
      <c r="AL117" s="59">
        <v>131.09999999999999</v>
      </c>
      <c r="AM117" s="59">
        <v>17</v>
      </c>
      <c r="AN117" s="62">
        <v>1</v>
      </c>
      <c r="AO117" s="59">
        <f t="shared" si="817"/>
        <v>14.766252145447099</v>
      </c>
      <c r="AP117" s="59"/>
      <c r="AQ117" s="59"/>
      <c r="AR117" s="59">
        <v>10912</v>
      </c>
      <c r="AS117" s="59">
        <f t="shared" si="818"/>
        <v>149.47351406588001</v>
      </c>
      <c r="AT117" s="189">
        <v>0.20000000000000001</v>
      </c>
      <c r="AU117" s="59">
        <f t="shared" si="819"/>
        <v>145.22029192183101</v>
      </c>
      <c r="AV117" s="59"/>
      <c r="AW117" s="59"/>
      <c r="AX117" s="59"/>
      <c r="AY117" s="62">
        <v>68.109999999999999</v>
      </c>
      <c r="AZ117" s="62" t="s">
        <v>440</v>
      </c>
      <c r="BA117" s="59"/>
      <c r="BB117" s="59" t="s">
        <v>441</v>
      </c>
      <c r="BC117" s="59">
        <v>800</v>
      </c>
      <c r="BD117" s="62">
        <v>37.0159633806011</v>
      </c>
      <c r="BE117" s="59">
        <f t="shared" si="820"/>
        <v>463.92642072300498</v>
      </c>
      <c r="BF117" s="62" t="e">
        <f>VLOOKUP(B117,'2022年项目库建设情况'!B:O,14,0)</f>
        <v>#N/A</v>
      </c>
      <c r="BG117" s="59" t="e">
        <f t="shared" si="821"/>
        <v>#N/A</v>
      </c>
      <c r="BH117" s="53" t="e">
        <f>ROUND(AI117+AD117+#REF!+#REF!+BE117+BG117,0)</f>
        <v>#REF!</v>
      </c>
      <c r="BI117" s="59" t="e">
        <f t="shared" si="822"/>
        <v>#REF!</v>
      </c>
      <c r="BJ117" s="167" t="e">
        <f t="shared" si="823"/>
        <v>#REF!</v>
      </c>
      <c r="BK117" s="170">
        <f t="shared" si="824"/>
        <v>2865.0007889714898</v>
      </c>
      <c r="BL117" s="59">
        <v>6857</v>
      </c>
      <c r="BM117" s="59">
        <f t="shared" si="825"/>
        <v>6226.5780357134399</v>
      </c>
      <c r="BN117" s="59">
        <f t="shared" si="826"/>
        <v>-3361.5772467419501</v>
      </c>
      <c r="BO117" s="43">
        <f t="shared" si="706"/>
        <v>-0.539875550817983</v>
      </c>
    </row>
    <row r="118" ht="17" customHeight="1">
      <c r="A118" s="46">
        <v>77</v>
      </c>
      <c r="B118" s="82" t="s">
        <v>163</v>
      </c>
      <c r="C118" s="46" t="s">
        <v>90</v>
      </c>
      <c r="D118" s="46">
        <v>2018</v>
      </c>
      <c r="E118" s="46"/>
      <c r="F118" s="46" t="s">
        <v>146</v>
      </c>
      <c r="G118" s="73" t="e">
        <f>VLOOKUP(B:B,#REF!,2,0)</f>
        <v>#REF!</v>
      </c>
      <c r="H118" s="73" t="e">
        <f t="shared" si="809"/>
        <v>#REF!</v>
      </c>
      <c r="I118" s="59" t="e">
        <f>VLOOKUP(B118,#REF!,4,0)</f>
        <v>#REF!</v>
      </c>
      <c r="J118" s="59" t="e">
        <f>VLOOKUP(B118,#REF!,2,0)</f>
        <v>#REF!</v>
      </c>
      <c r="K118" s="73" t="e">
        <f t="shared" si="810"/>
        <v>#REF!</v>
      </c>
      <c r="L118" s="73" t="e">
        <f t="shared" si="811"/>
        <v>#REF!</v>
      </c>
      <c r="M118" s="59">
        <v>13591</v>
      </c>
      <c r="N118" s="59">
        <v>4939</v>
      </c>
      <c r="O118" s="73">
        <v>25322</v>
      </c>
      <c r="P118" s="59">
        <f t="shared" si="798"/>
        <v>15193.200000000001</v>
      </c>
      <c r="Q118" s="59">
        <f t="shared" si="799"/>
        <v>0</v>
      </c>
      <c r="R118" s="59">
        <f t="shared" si="800"/>
        <v>0</v>
      </c>
      <c r="S118" s="59">
        <f t="shared" si="801"/>
        <v>15193.200000000001</v>
      </c>
      <c r="T118" s="59">
        <f t="shared" si="802"/>
        <v>0</v>
      </c>
      <c r="U118" s="59">
        <f t="shared" si="803"/>
        <v>0</v>
      </c>
      <c r="V118" s="59">
        <v>2975</v>
      </c>
      <c r="W118" s="59">
        <f t="shared" si="827"/>
        <v>1487.5</v>
      </c>
      <c r="X118" s="59">
        <v>121</v>
      </c>
      <c r="Y118" s="59">
        <f t="shared" si="812"/>
        <v>0</v>
      </c>
      <c r="Z118" s="59"/>
      <c r="AA118" s="59"/>
      <c r="AB118" s="59"/>
      <c r="AC118" s="59">
        <v>539</v>
      </c>
      <c r="AD118" s="59">
        <f t="shared" si="813"/>
        <v>1174.76478984348</v>
      </c>
      <c r="AE118" s="59">
        <v>13289.08</v>
      </c>
      <c r="AF118" s="62">
        <f t="shared" si="814"/>
        <v>0.38235474469987202</v>
      </c>
      <c r="AG118" s="62">
        <f t="shared" si="815"/>
        <v>1.0819492210772299</v>
      </c>
      <c r="AH118" s="62">
        <f t="shared" si="828"/>
        <v>0.54097461053861395</v>
      </c>
      <c r="AI118" s="59">
        <f t="shared" si="816"/>
        <v>161.25208159482199</v>
      </c>
      <c r="AJ118" s="59"/>
      <c r="AK118" s="59"/>
      <c r="AL118" s="59">
        <v>1053.0999999999999</v>
      </c>
      <c r="AM118" s="59">
        <v>21</v>
      </c>
      <c r="AN118" s="62">
        <v>1</v>
      </c>
      <c r="AO118" s="59">
        <f t="shared" si="817"/>
        <v>118.614341223268</v>
      </c>
      <c r="AP118" s="59"/>
      <c r="AQ118" s="59"/>
      <c r="AR118" s="59">
        <v>11836</v>
      </c>
      <c r="AS118" s="59">
        <f t="shared" si="818"/>
        <v>162.13054549887701</v>
      </c>
      <c r="AT118" s="189">
        <v>0.10000000000000001</v>
      </c>
      <c r="AU118" s="59">
        <f t="shared" si="819"/>
        <v>72.610145960915403</v>
      </c>
      <c r="AV118" s="59"/>
      <c r="AW118" s="59"/>
      <c r="AX118" s="59"/>
      <c r="AY118" s="62">
        <v>75.109999999999999</v>
      </c>
      <c r="AZ118" s="62" t="s">
        <v>440</v>
      </c>
      <c r="BA118" s="59"/>
      <c r="BB118" s="59" t="s">
        <v>443</v>
      </c>
      <c r="BC118" s="59"/>
      <c r="BD118" s="62">
        <v>13.2633910883703</v>
      </c>
      <c r="BE118" s="59">
        <f t="shared" si="820"/>
        <v>166.231998097927</v>
      </c>
      <c r="BF118" s="62" t="e">
        <f>VLOOKUP(B118,'2022年项目库建设情况'!B:O,14,0)</f>
        <v>#N/A</v>
      </c>
      <c r="BG118" s="59" t="e">
        <f t="shared" si="821"/>
        <v>#N/A</v>
      </c>
      <c r="BH118" s="53" t="e">
        <f>ROUND(AI118+AD118+#REF!+#REF!+BE118+BG118,0)</f>
        <v>#REF!</v>
      </c>
      <c r="BI118" s="59" t="e">
        <f t="shared" si="822"/>
        <v>#REF!</v>
      </c>
      <c r="BJ118" s="167" t="e">
        <f t="shared" si="823"/>
        <v>#REF!</v>
      </c>
      <c r="BK118" s="170">
        <f t="shared" si="824"/>
        <v>1855.6039022192899</v>
      </c>
      <c r="BL118" s="59">
        <v>13591</v>
      </c>
      <c r="BM118" s="59">
        <f t="shared" si="825"/>
        <v>12341.4645010036</v>
      </c>
      <c r="BN118" s="59">
        <f t="shared" si="826"/>
        <v>-10485.8605987843</v>
      </c>
      <c r="BO118" s="43">
        <f t="shared" si="706"/>
        <v>-0.84964475633597603</v>
      </c>
    </row>
    <row r="119" s="64" customFormat="1" ht="17" customHeight="1">
      <c r="A119" s="65"/>
      <c r="B119" s="66" t="s">
        <v>164</v>
      </c>
      <c r="C119" s="67">
        <v>1</v>
      </c>
      <c r="D119" s="67"/>
      <c r="E119" s="67"/>
      <c r="F119" s="68"/>
      <c r="G119" s="69" t="e">
        <f t="shared" ref="G119:M119" si="829">G120+G121</f>
        <v>#REF!</v>
      </c>
      <c r="H119" s="69" t="e">
        <f t="shared" si="829"/>
        <v>#REF!</v>
      </c>
      <c r="I119" s="69" t="e">
        <f t="shared" si="829"/>
        <v>#REF!</v>
      </c>
      <c r="J119" s="69" t="e">
        <f t="shared" si="829"/>
        <v>#REF!</v>
      </c>
      <c r="K119" s="69" t="e">
        <f t="shared" si="829"/>
        <v>#REF!</v>
      </c>
      <c r="L119" s="69" t="e">
        <f t="shared" si="829"/>
        <v>#REF!</v>
      </c>
      <c r="M119" s="69">
        <f t="shared" si="829"/>
        <v>51284</v>
      </c>
      <c r="N119" s="69">
        <v>8701</v>
      </c>
      <c r="O119" s="69">
        <f t="shared" ref="O119:AD119" si="830">O120+O121</f>
        <v>310681</v>
      </c>
      <c r="P119" s="69">
        <f t="shared" si="830"/>
        <v>168132.60000000001</v>
      </c>
      <c r="Q119" s="69">
        <f t="shared" si="830"/>
        <v>15394.200000000001</v>
      </c>
      <c r="R119" s="69">
        <f t="shared" si="830"/>
        <v>13178</v>
      </c>
      <c r="S119" s="69">
        <f t="shared" si="830"/>
        <v>63154.800000000003</v>
      </c>
      <c r="T119" s="69">
        <f t="shared" si="830"/>
        <v>76405.600000000006</v>
      </c>
      <c r="U119" s="69">
        <f t="shared" si="830"/>
        <v>0</v>
      </c>
      <c r="V119" s="69">
        <f t="shared" si="830"/>
        <v>43685</v>
      </c>
      <c r="W119" s="69">
        <f t="shared" si="830"/>
        <v>24100.599999999999</v>
      </c>
      <c r="X119" s="69">
        <f t="shared" si="830"/>
        <v>47828</v>
      </c>
      <c r="Y119" s="69">
        <f t="shared" si="830"/>
        <v>0</v>
      </c>
      <c r="Z119" s="69">
        <f t="shared" si="830"/>
        <v>0</v>
      </c>
      <c r="AA119" s="69">
        <f t="shared" si="830"/>
        <v>0</v>
      </c>
      <c r="AB119" s="69">
        <f t="shared" si="830"/>
        <v>0</v>
      </c>
      <c r="AC119" s="69">
        <f t="shared" si="830"/>
        <v>5701</v>
      </c>
      <c r="AD119" s="69">
        <f t="shared" si="830"/>
        <v>19893.411470780698</v>
      </c>
      <c r="AE119" s="69"/>
      <c r="AF119" s="69">
        <f t="shared" ref="AF119:AL119" si="831">AF120+AF121</f>
        <v>4.7602573495002396</v>
      </c>
      <c r="AG119" s="69">
        <f t="shared" si="831"/>
        <v>18.048825724783899</v>
      </c>
      <c r="AH119" s="69">
        <f t="shared" si="831"/>
        <v>11.1234004957706</v>
      </c>
      <c r="AI119" s="69">
        <f t="shared" si="831"/>
        <v>3315.6296976119302</v>
      </c>
      <c r="AJ119" s="69">
        <f t="shared" si="831"/>
        <v>76405.600000000006</v>
      </c>
      <c r="AK119" s="69">
        <f t="shared" si="831"/>
        <v>54.358413206497097</v>
      </c>
      <c r="AL119" s="69">
        <f t="shared" si="831"/>
        <v>36847.911999999997</v>
      </c>
      <c r="AM119" s="69">
        <v>565</v>
      </c>
      <c r="AN119" s="71">
        <v>10</v>
      </c>
      <c r="AO119" s="69">
        <f t="shared" ref="AO119:BA119" si="832">AO120+AO121</f>
        <v>4150.3093792925101</v>
      </c>
      <c r="AP119" s="69">
        <f t="shared" si="832"/>
        <v>3000</v>
      </c>
      <c r="AQ119" s="69"/>
      <c r="AR119" s="69">
        <f t="shared" si="832"/>
        <v>184585</v>
      </c>
      <c r="AS119" s="69">
        <f t="shared" si="832"/>
        <v>2528.46119811679</v>
      </c>
      <c r="AT119" s="69">
        <f t="shared" si="832"/>
        <v>3.5499999999999998</v>
      </c>
      <c r="AU119" s="69">
        <f t="shared" si="832"/>
        <v>2577.6601816124999</v>
      </c>
      <c r="AV119" s="69">
        <f t="shared" si="832"/>
        <v>9</v>
      </c>
      <c r="AW119" s="69">
        <f t="shared" si="832"/>
        <v>9000</v>
      </c>
      <c r="AX119" s="69">
        <f t="shared" si="832"/>
        <v>0</v>
      </c>
      <c r="AY119" s="69">
        <f t="shared" si="832"/>
        <v>801.88999999999999</v>
      </c>
      <c r="AZ119" s="69">
        <f t="shared" si="832"/>
        <v>0</v>
      </c>
      <c r="BA119" s="69">
        <f t="shared" si="832"/>
        <v>3000</v>
      </c>
      <c r="BB119" s="69"/>
      <c r="BC119" s="69">
        <f t="shared" ref="BC119:BK119" si="833">BC120+BC121</f>
        <v>5000</v>
      </c>
      <c r="BD119" s="71">
        <f t="shared" si="833"/>
        <v>347.96711034279798</v>
      </c>
      <c r="BE119" s="69">
        <f t="shared" si="833"/>
        <v>4361.1221021269503</v>
      </c>
      <c r="BF119" s="71" t="e">
        <f t="shared" si="833"/>
        <v>#N/A</v>
      </c>
      <c r="BG119" s="69" t="e">
        <f t="shared" si="833"/>
        <v>#N/A</v>
      </c>
      <c r="BH119" s="70" t="e">
        <f t="shared" si="833"/>
        <v>#REF!</v>
      </c>
      <c r="BI119" s="70" t="e">
        <f t="shared" si="833"/>
        <v>#REF!</v>
      </c>
      <c r="BJ119" s="183" t="e">
        <f t="shared" si="833"/>
        <v>#REF!</v>
      </c>
      <c r="BK119" s="184">
        <f t="shared" si="833"/>
        <v>56826.594029541397</v>
      </c>
      <c r="BL119" s="69">
        <v>51284</v>
      </c>
      <c r="BM119" s="184">
        <f>BM120+BM121</f>
        <v>46569.028435690299</v>
      </c>
      <c r="BN119" s="184">
        <f>BN120+BN121</f>
        <v>10257.565593851101</v>
      </c>
      <c r="BO119" s="43">
        <f t="shared" si="706"/>
        <v>0.22026582770599001</v>
      </c>
      <c r="BP119" s="185"/>
    </row>
    <row r="120" s="5" customFormat="1" ht="17" customHeight="1">
      <c r="A120" s="44"/>
      <c r="B120" s="72" t="s">
        <v>165</v>
      </c>
      <c r="C120" s="46">
        <v>2</v>
      </c>
      <c r="D120" s="46"/>
      <c r="E120" s="46"/>
      <c r="F120" s="46"/>
      <c r="G120" s="73"/>
      <c r="H120" s="73"/>
      <c r="I120" s="73"/>
      <c r="J120" s="73"/>
      <c r="K120" s="73"/>
      <c r="L120" s="73"/>
      <c r="M120" s="73"/>
      <c r="N120" s="73"/>
      <c r="O120" s="73"/>
      <c r="P120" s="59">
        <f t="shared" ref="P120:P131" si="834">SUM(Q120:U120)</f>
        <v>0</v>
      </c>
      <c r="Q120" s="59">
        <f t="shared" ref="Q120:Q131" si="835">IF(D120="",O120*0.2,0)</f>
        <v>0</v>
      </c>
      <c r="R120" s="59">
        <f t="shared" ref="R120:R131" si="836">IF(D120=2017,O120*0.4,0)</f>
        <v>0</v>
      </c>
      <c r="S120" s="59">
        <f t="shared" ref="S120:S131" si="837">IF(D120=2018,O120*0.6,0)</f>
        <v>0</v>
      </c>
      <c r="T120" s="59">
        <f t="shared" ref="T120:T131" si="838">IF(D120=2019,O120*0.8,0)</f>
        <v>0</v>
      </c>
      <c r="U120" s="59">
        <f t="shared" ref="U120:U131" si="839">IF(D120=2020,O120*1,0)</f>
        <v>0</v>
      </c>
      <c r="V120" s="59"/>
      <c r="W120" s="59"/>
      <c r="X120" s="59"/>
      <c r="Y120" s="59">
        <f>T120*0.4+U120*0.6+V120*0.8+X120*1</f>
        <v>0</v>
      </c>
      <c r="Z120" s="59"/>
      <c r="AA120" s="59"/>
      <c r="AB120" s="59"/>
      <c r="AC120" s="59"/>
      <c r="AD120" s="59"/>
      <c r="AE120" s="59"/>
      <c r="AF120" s="62"/>
      <c r="AG120" s="62"/>
      <c r="AH120" s="62"/>
      <c r="AI120" s="59"/>
      <c r="AJ120" s="59"/>
      <c r="AK120" s="59"/>
      <c r="AL120" s="59"/>
      <c r="AM120" s="59"/>
      <c r="AN120" s="62"/>
      <c r="AO120" s="59"/>
      <c r="AP120" s="59"/>
      <c r="AQ120" s="59"/>
      <c r="AR120" s="59"/>
      <c r="AS120" s="59"/>
      <c r="AT120" s="59"/>
      <c r="AU120" s="59"/>
      <c r="AV120" s="59"/>
      <c r="AW120" s="59"/>
      <c r="AX120" s="59"/>
      <c r="AY120" s="62"/>
      <c r="AZ120" s="62"/>
      <c r="BA120" s="59"/>
      <c r="BB120" s="59"/>
      <c r="BC120" s="59"/>
      <c r="BD120" s="62"/>
      <c r="BE120" s="59"/>
      <c r="BF120" s="62"/>
      <c r="BG120" s="59"/>
      <c r="BH120" s="53"/>
      <c r="BI120" s="59"/>
      <c r="BJ120" s="182"/>
      <c r="BK120" s="170"/>
      <c r="BL120" s="73"/>
      <c r="BM120" s="170"/>
      <c r="BN120" s="50"/>
      <c r="BO120" s="43"/>
      <c r="BP120" s="4"/>
    </row>
    <row r="121" s="74" customFormat="1" ht="17" customHeight="1">
      <c r="A121" s="75"/>
      <c r="B121" s="76" t="s">
        <v>76</v>
      </c>
      <c r="C121" s="77">
        <v>3</v>
      </c>
      <c r="D121" s="77"/>
      <c r="E121" s="77"/>
      <c r="F121" s="78"/>
      <c r="G121" s="79" t="e">
        <f t="shared" ref="G121:M121" si="840">SUM(G122:G131)</f>
        <v>#REF!</v>
      </c>
      <c r="H121" s="79" t="e">
        <f t="shared" si="840"/>
        <v>#REF!</v>
      </c>
      <c r="I121" s="79" t="e">
        <f t="shared" si="840"/>
        <v>#REF!</v>
      </c>
      <c r="J121" s="79" t="e">
        <f t="shared" si="840"/>
        <v>#REF!</v>
      </c>
      <c r="K121" s="79" t="e">
        <f t="shared" si="840"/>
        <v>#REF!</v>
      </c>
      <c r="L121" s="79" t="e">
        <f t="shared" si="840"/>
        <v>#REF!</v>
      </c>
      <c r="M121" s="79">
        <f t="shared" si="840"/>
        <v>51284</v>
      </c>
      <c r="N121" s="79">
        <v>8701</v>
      </c>
      <c r="O121" s="79">
        <f t="shared" ref="O121:AD121" si="841">SUM(O122:O131)</f>
        <v>310681</v>
      </c>
      <c r="P121" s="79">
        <f t="shared" si="841"/>
        <v>168132.60000000001</v>
      </c>
      <c r="Q121" s="79">
        <f t="shared" si="841"/>
        <v>15394.200000000001</v>
      </c>
      <c r="R121" s="79">
        <f t="shared" si="841"/>
        <v>13178</v>
      </c>
      <c r="S121" s="79">
        <f t="shared" si="841"/>
        <v>63154.800000000003</v>
      </c>
      <c r="T121" s="79">
        <f t="shared" si="841"/>
        <v>76405.600000000006</v>
      </c>
      <c r="U121" s="79">
        <f t="shared" si="841"/>
        <v>0</v>
      </c>
      <c r="V121" s="79">
        <f t="shared" si="841"/>
        <v>43685</v>
      </c>
      <c r="W121" s="79">
        <f t="shared" si="841"/>
        <v>24100.599999999999</v>
      </c>
      <c r="X121" s="79">
        <f t="shared" si="841"/>
        <v>47828</v>
      </c>
      <c r="Y121" s="79">
        <f t="shared" si="841"/>
        <v>0</v>
      </c>
      <c r="Z121" s="79">
        <f t="shared" si="841"/>
        <v>0</v>
      </c>
      <c r="AA121" s="79">
        <f t="shared" si="841"/>
        <v>0</v>
      </c>
      <c r="AB121" s="79">
        <f t="shared" si="841"/>
        <v>0</v>
      </c>
      <c r="AC121" s="79">
        <f t="shared" si="841"/>
        <v>5701</v>
      </c>
      <c r="AD121" s="79">
        <f t="shared" si="841"/>
        <v>19893.411470780698</v>
      </c>
      <c r="AE121" s="79"/>
      <c r="AF121" s="79">
        <f t="shared" ref="AF121:AL121" si="842">SUM(AF122:AF131)</f>
        <v>4.7602573495002396</v>
      </c>
      <c r="AG121" s="79">
        <f t="shared" si="842"/>
        <v>18.048825724783899</v>
      </c>
      <c r="AH121" s="79">
        <f t="shared" si="842"/>
        <v>11.1234004957706</v>
      </c>
      <c r="AI121" s="79">
        <f t="shared" si="842"/>
        <v>3315.6296976119302</v>
      </c>
      <c r="AJ121" s="79">
        <f t="shared" si="842"/>
        <v>76405.600000000006</v>
      </c>
      <c r="AK121" s="79">
        <f t="shared" si="842"/>
        <v>54.358413206497097</v>
      </c>
      <c r="AL121" s="79">
        <f t="shared" si="842"/>
        <v>36847.911999999997</v>
      </c>
      <c r="AM121" s="79">
        <v>565</v>
      </c>
      <c r="AN121" s="81">
        <v>10</v>
      </c>
      <c r="AO121" s="79">
        <f t="shared" ref="AO121:BA121" si="843">SUM(AO122:AO131)</f>
        <v>4150.3093792925101</v>
      </c>
      <c r="AP121" s="79">
        <f t="shared" si="843"/>
        <v>3000</v>
      </c>
      <c r="AQ121" s="79"/>
      <c r="AR121" s="79">
        <f t="shared" si="843"/>
        <v>184585</v>
      </c>
      <c r="AS121" s="79">
        <f t="shared" si="843"/>
        <v>2528.46119811679</v>
      </c>
      <c r="AT121" s="79">
        <f t="shared" si="843"/>
        <v>3.5499999999999998</v>
      </c>
      <c r="AU121" s="79">
        <f t="shared" si="843"/>
        <v>2577.6601816124999</v>
      </c>
      <c r="AV121" s="79">
        <f t="shared" si="843"/>
        <v>9</v>
      </c>
      <c r="AW121" s="79">
        <f t="shared" si="843"/>
        <v>9000</v>
      </c>
      <c r="AX121" s="79">
        <f t="shared" si="843"/>
        <v>0</v>
      </c>
      <c r="AY121" s="79">
        <f t="shared" si="843"/>
        <v>801.88999999999999</v>
      </c>
      <c r="AZ121" s="79">
        <f t="shared" si="843"/>
        <v>0</v>
      </c>
      <c r="BA121" s="79">
        <f t="shared" si="843"/>
        <v>3000</v>
      </c>
      <c r="BB121" s="79"/>
      <c r="BC121" s="79">
        <f t="shared" ref="BC121:BK121" si="844">SUM(BC122:BC131)</f>
        <v>5000</v>
      </c>
      <c r="BD121" s="81">
        <f t="shared" si="844"/>
        <v>347.96711034279798</v>
      </c>
      <c r="BE121" s="79">
        <f t="shared" si="844"/>
        <v>4361.1221021269503</v>
      </c>
      <c r="BF121" s="81" t="e">
        <f t="shared" si="844"/>
        <v>#N/A</v>
      </c>
      <c r="BG121" s="79" t="e">
        <f t="shared" si="844"/>
        <v>#N/A</v>
      </c>
      <c r="BH121" s="80" t="e">
        <f t="shared" si="844"/>
        <v>#REF!</v>
      </c>
      <c r="BI121" s="80" t="e">
        <f t="shared" si="844"/>
        <v>#REF!</v>
      </c>
      <c r="BJ121" s="186" t="e">
        <f t="shared" si="844"/>
        <v>#REF!</v>
      </c>
      <c r="BK121" s="187">
        <f t="shared" si="844"/>
        <v>56826.594029541397</v>
      </c>
      <c r="BL121" s="79">
        <v>51284</v>
      </c>
      <c r="BM121" s="187">
        <f>SUM(BM122:BM131)</f>
        <v>46569.028435690299</v>
      </c>
      <c r="BN121" s="187">
        <f>SUM(BN122:BN131)</f>
        <v>10257.565593851101</v>
      </c>
      <c r="BO121" s="43">
        <f t="shared" si="706"/>
        <v>0.22026582770599001</v>
      </c>
      <c r="BP121" s="188"/>
    </row>
    <row r="122" s="5" customFormat="1" ht="17" customHeight="1">
      <c r="A122" s="46">
        <v>78</v>
      </c>
      <c r="B122" s="82" t="s">
        <v>166</v>
      </c>
      <c r="C122" s="46" t="s">
        <v>78</v>
      </c>
      <c r="D122" s="46"/>
      <c r="E122" s="46"/>
      <c r="F122" s="46"/>
      <c r="G122" s="73" t="e">
        <f>VLOOKUP(B:B,#REF!,2,0)</f>
        <v>#REF!</v>
      </c>
      <c r="H122" s="73" t="e">
        <f t="shared" ref="H122:H131" si="845">G122*299423/381298.76</f>
        <v>#REF!</v>
      </c>
      <c r="I122" s="59" t="e">
        <f>VLOOKUP(B122,#REF!,4,0)</f>
        <v>#REF!</v>
      </c>
      <c r="J122" s="59" t="e">
        <f>VLOOKUP(B122,#REF!,2,0)</f>
        <v>#REF!</v>
      </c>
      <c r="K122" s="73" t="e">
        <f t="shared" ref="K122:K131" si="846">I122*1485211/1408452</f>
        <v>#REF!</v>
      </c>
      <c r="L122" s="73" t="e">
        <f t="shared" ref="L122:L131" si="847">J122*1485211/1408452</f>
        <v>#REF!</v>
      </c>
      <c r="M122" s="59">
        <v>2671</v>
      </c>
      <c r="N122" s="59">
        <v>361</v>
      </c>
      <c r="O122" s="73">
        <v>33951</v>
      </c>
      <c r="P122" s="59">
        <f t="shared" si="834"/>
        <v>6790.1999999999998</v>
      </c>
      <c r="Q122" s="59">
        <f t="shared" si="835"/>
        <v>6790.1999999999998</v>
      </c>
      <c r="R122" s="59">
        <f t="shared" si="836"/>
        <v>0</v>
      </c>
      <c r="S122" s="59">
        <f t="shared" si="837"/>
        <v>0</v>
      </c>
      <c r="T122" s="59">
        <f t="shared" si="838"/>
        <v>0</v>
      </c>
      <c r="U122" s="59">
        <f t="shared" si="839"/>
        <v>0</v>
      </c>
      <c r="V122" s="59">
        <v>4811</v>
      </c>
      <c r="W122" s="59">
        <f>V122*0.2</f>
        <v>962.20000000000005</v>
      </c>
      <c r="X122" s="59">
        <v>1850</v>
      </c>
      <c r="Y122" s="59">
        <f t="shared" ref="Y122:Y131" si="848">Z122+AA122+AB122*1.2</f>
        <v>0</v>
      </c>
      <c r="Z122" s="59"/>
      <c r="AA122" s="59"/>
      <c r="AB122" s="59"/>
      <c r="AC122" s="59">
        <v>913</v>
      </c>
      <c r="AD122" s="59">
        <f t="shared" ref="AD122:AD131" si="849">O122/$O$9*202299+W122/$W$9*134866+AC122/$AC$9*34867+X122/$X$9*100000</f>
        <v>1605.45762210969</v>
      </c>
      <c r="AE122" s="59">
        <v>13094.16</v>
      </c>
      <c r="AF122" s="62">
        <f t="shared" ref="AF122:AF131" si="850">($AE$64-AE122)/($AE$64-$AE$44)</f>
        <v>0.41380857250743103</v>
      </c>
      <c r="AG122" s="62">
        <f t="shared" ref="AG122:AG131" si="851">(O122+V122)*AF122/10000</f>
        <v>1.6040047887533</v>
      </c>
      <c r="AH122" s="62">
        <f>AG122*0.2</f>
        <v>0.32080095775066098</v>
      </c>
      <c r="AI122" s="59">
        <f t="shared" ref="AI122:AI131" si="852">AH122/$AH$9*1348663*0.1</f>
        <v>95.623382700719603</v>
      </c>
      <c r="AJ122" s="59"/>
      <c r="AK122" s="59"/>
      <c r="AL122" s="59">
        <v>3023.8299999999999</v>
      </c>
      <c r="AM122" s="59">
        <v>45</v>
      </c>
      <c r="AN122" s="62">
        <v>1</v>
      </c>
      <c r="AO122" s="59">
        <f t="shared" ref="AO122:AO131" si="853">(AL122/$AL$9*80000)</f>
        <v>340.58456311950698</v>
      </c>
      <c r="AP122" s="59"/>
      <c r="AQ122" s="59"/>
      <c r="AR122" s="59">
        <v>18700</v>
      </c>
      <c r="AS122" s="59">
        <f t="shared" ref="AS122:AS131" si="854">AR122/$AR$9*50000</f>
        <v>256.15420757257601</v>
      </c>
      <c r="AT122" s="189">
        <v>0.3891</v>
      </c>
      <c r="AU122" s="59">
        <f t="shared" ref="AU122:AU131" si="855">AT122/$AT$9*50000</f>
        <v>282.52607793392201</v>
      </c>
      <c r="AV122" s="59">
        <v>1</v>
      </c>
      <c r="AW122" s="59">
        <f t="shared" ref="AW122:AW131" si="856">AV122*1000</f>
        <v>1000</v>
      </c>
      <c r="AX122" s="59"/>
      <c r="AY122" s="62">
        <v>73.040000000000006</v>
      </c>
      <c r="AZ122" s="62" t="s">
        <v>440</v>
      </c>
      <c r="BA122" s="59"/>
      <c r="BB122" s="59" t="s">
        <v>443</v>
      </c>
      <c r="BC122" s="59"/>
      <c r="BD122" s="62">
        <v>34.719531521452801</v>
      </c>
      <c r="BE122" s="59">
        <f t="shared" ref="BE122:BE131" si="857">BD122/$BD$9*42266</f>
        <v>435.14490822001602</v>
      </c>
      <c r="BF122" s="62" t="e">
        <f>VLOOKUP(B122,'2022年项目库建设情况'!B:O,14,0)</f>
        <v>#N/A</v>
      </c>
      <c r="BG122" s="59" t="e">
        <f t="shared" ref="BG122:BG131" si="858">BF122/$BF$9*1348663*0.025</f>
        <v>#N/A</v>
      </c>
      <c r="BH122" s="53" t="e">
        <f>ROUND(AI122+AD122+#REF!+#REF!+BE122+BG122,0)</f>
        <v>#REF!</v>
      </c>
      <c r="BI122" s="59" t="e">
        <f t="shared" ref="BI122:BI131" si="859">N122-G122</f>
        <v>#REF!</v>
      </c>
      <c r="BJ122" s="182" t="e">
        <f t="shared" ref="BJ122:BJ131" si="860">BI122/G122</f>
        <v>#REF!</v>
      </c>
      <c r="BK122" s="170">
        <f t="shared" ref="BK122:BK131" si="861">AD122+AI122+AO122+AP122+AS122+AU122+AW122+AX122+BA122+BC122+BE122</f>
        <v>4015.4907616564301</v>
      </c>
      <c r="BL122" s="59">
        <v>2671</v>
      </c>
      <c r="BM122" s="59">
        <f t="shared" ref="BM122:BM131" si="862">BL122/$BL$9*1348663</f>
        <v>2425.4323951277001</v>
      </c>
      <c r="BN122" s="59">
        <f t="shared" ref="BN122:BN131" si="863">BK122-BM122</f>
        <v>1590.05836652874</v>
      </c>
      <c r="BO122" s="43">
        <f t="shared" si="706"/>
        <v>0.65557727757034601</v>
      </c>
      <c r="BP122" s="4"/>
    </row>
    <row r="123" s="5" customFormat="1" ht="17" customHeight="1">
      <c r="A123" s="46">
        <v>79</v>
      </c>
      <c r="B123" s="82" t="s">
        <v>167</v>
      </c>
      <c r="C123" s="46" t="s">
        <v>90</v>
      </c>
      <c r="D123" s="46">
        <v>2018</v>
      </c>
      <c r="E123" s="46"/>
      <c r="F123" s="46"/>
      <c r="G123" s="73" t="e">
        <f>VLOOKUP(B:B,#REF!,2,0)</f>
        <v>#REF!</v>
      </c>
      <c r="H123" s="73" t="e">
        <f t="shared" si="845"/>
        <v>#REF!</v>
      </c>
      <c r="I123" s="59" t="e">
        <f>VLOOKUP(B123,#REF!,4,0)</f>
        <v>#REF!</v>
      </c>
      <c r="J123" s="59" t="e">
        <f>VLOOKUP(B123,#REF!,2,0)</f>
        <v>#REF!</v>
      </c>
      <c r="K123" s="73" t="e">
        <f t="shared" si="846"/>
        <v>#REF!</v>
      </c>
      <c r="L123" s="73" t="e">
        <f t="shared" si="847"/>
        <v>#REF!</v>
      </c>
      <c r="M123" s="59">
        <v>4369</v>
      </c>
      <c r="N123" s="59">
        <v>653</v>
      </c>
      <c r="O123" s="73">
        <v>22402</v>
      </c>
      <c r="P123" s="59">
        <f t="shared" si="834"/>
        <v>13441.200000000001</v>
      </c>
      <c r="Q123" s="59">
        <f t="shared" si="835"/>
        <v>0</v>
      </c>
      <c r="R123" s="59">
        <f t="shared" si="836"/>
        <v>0</v>
      </c>
      <c r="S123" s="59">
        <f t="shared" si="837"/>
        <v>13441.200000000001</v>
      </c>
      <c r="T123" s="59">
        <f t="shared" si="838"/>
        <v>0</v>
      </c>
      <c r="U123" s="59">
        <f t="shared" si="839"/>
        <v>0</v>
      </c>
      <c r="V123" s="59">
        <v>4048</v>
      </c>
      <c r="W123" s="59">
        <f t="shared" ref="W123:W128" si="864">V123*0.5</f>
        <v>2024</v>
      </c>
      <c r="X123" s="59">
        <v>5801</v>
      </c>
      <c r="Y123" s="59">
        <f t="shared" si="848"/>
        <v>0</v>
      </c>
      <c r="Z123" s="59"/>
      <c r="AA123" s="59"/>
      <c r="AB123" s="59"/>
      <c r="AC123" s="59">
        <v>467</v>
      </c>
      <c r="AD123" s="59">
        <f t="shared" si="849"/>
        <v>1734.8363495219401</v>
      </c>
      <c r="AE123" s="59">
        <v>11951.799999999999</v>
      </c>
      <c r="AF123" s="62">
        <f t="shared" si="850"/>
        <v>0.59814878764309298</v>
      </c>
      <c r="AG123" s="62">
        <f t="shared" si="851"/>
        <v>1.58210354331598</v>
      </c>
      <c r="AH123" s="62">
        <f t="shared" ref="AH123:AH128" si="865">AG123*0.5</f>
        <v>0.79105177165799101</v>
      </c>
      <c r="AI123" s="59">
        <f t="shared" si="852"/>
        <v>235.79432813329399</v>
      </c>
      <c r="AJ123" s="59"/>
      <c r="AK123" s="59"/>
      <c r="AL123" s="59">
        <v>2246</v>
      </c>
      <c r="AM123" s="59">
        <v>69</v>
      </c>
      <c r="AN123" s="62">
        <v>1</v>
      </c>
      <c r="AO123" s="59">
        <f t="shared" si="853"/>
        <v>252.97484606158901</v>
      </c>
      <c r="AP123" s="59"/>
      <c r="AQ123" s="59"/>
      <c r="AR123" s="59">
        <v>13866</v>
      </c>
      <c r="AS123" s="59">
        <f t="shared" si="854"/>
        <v>189.93766001076699</v>
      </c>
      <c r="AT123" s="189">
        <v>0.26229999999999998</v>
      </c>
      <c r="AU123" s="59">
        <f t="shared" si="855"/>
        <v>190.45641285548101</v>
      </c>
      <c r="AV123" s="59"/>
      <c r="AW123" s="59">
        <f t="shared" si="856"/>
        <v>0</v>
      </c>
      <c r="AX123" s="59"/>
      <c r="AY123" s="62">
        <v>80.049999999999997</v>
      </c>
      <c r="AZ123" s="62" t="s">
        <v>442</v>
      </c>
      <c r="BA123" s="59">
        <v>500</v>
      </c>
      <c r="BB123" s="59" t="s">
        <v>441</v>
      </c>
      <c r="BC123" s="59">
        <v>800</v>
      </c>
      <c r="BD123" s="62">
        <v>23.856456562092099</v>
      </c>
      <c r="BE123" s="59">
        <f t="shared" si="857"/>
        <v>298.99641919857299</v>
      </c>
      <c r="BF123" s="62" t="e">
        <f>VLOOKUP(B123,'2022年项目库建设情况'!B:O,14,0)</f>
        <v>#N/A</v>
      </c>
      <c r="BG123" s="59" t="e">
        <f t="shared" si="858"/>
        <v>#N/A</v>
      </c>
      <c r="BH123" s="53" t="e">
        <f>ROUND(AI123+AD123+#REF!+#REF!+BE123+BG123,0)</f>
        <v>#REF!</v>
      </c>
      <c r="BI123" s="59" t="e">
        <f t="shared" si="859"/>
        <v>#REF!</v>
      </c>
      <c r="BJ123" s="182" t="e">
        <f t="shared" si="860"/>
        <v>#REF!</v>
      </c>
      <c r="BK123" s="170">
        <f t="shared" si="861"/>
        <v>4202.9960157816404</v>
      </c>
      <c r="BL123" s="59">
        <v>4369</v>
      </c>
      <c r="BM123" s="59">
        <f t="shared" si="862"/>
        <v>3967.3209038985001</v>
      </c>
      <c r="BN123" s="59">
        <f t="shared" si="863"/>
        <v>235.67511188313901</v>
      </c>
      <c r="BO123" s="43">
        <f t="shared" si="706"/>
        <v>5.9404096011379401e-002</v>
      </c>
      <c r="BP123" s="4"/>
    </row>
    <row r="124" s="5" customFormat="1" ht="17" customHeight="1">
      <c r="A124" s="46">
        <v>80</v>
      </c>
      <c r="B124" s="82" t="s">
        <v>168</v>
      </c>
      <c r="C124" s="46" t="s">
        <v>90</v>
      </c>
      <c r="D124" s="46">
        <v>2017</v>
      </c>
      <c r="E124" s="46"/>
      <c r="F124" s="46"/>
      <c r="G124" s="73" t="e">
        <f>VLOOKUP(B:B,#REF!,2,0)</f>
        <v>#REF!</v>
      </c>
      <c r="H124" s="73" t="e">
        <f t="shared" si="845"/>
        <v>#REF!</v>
      </c>
      <c r="I124" s="59" t="e">
        <f>VLOOKUP(B124,#REF!,4,0)</f>
        <v>#REF!</v>
      </c>
      <c r="J124" s="59" t="e">
        <f>VLOOKUP(B124,#REF!,2,0)</f>
        <v>#REF!</v>
      </c>
      <c r="K124" s="73" t="e">
        <f t="shared" si="846"/>
        <v>#REF!</v>
      </c>
      <c r="L124" s="73" t="e">
        <f t="shared" si="847"/>
        <v>#REF!</v>
      </c>
      <c r="M124" s="59">
        <v>3112</v>
      </c>
      <c r="N124" s="59">
        <v>283</v>
      </c>
      <c r="O124" s="73">
        <v>10255</v>
      </c>
      <c r="P124" s="59">
        <f t="shared" si="834"/>
        <v>4102</v>
      </c>
      <c r="Q124" s="59">
        <f t="shared" si="835"/>
        <v>0</v>
      </c>
      <c r="R124" s="59">
        <f t="shared" si="836"/>
        <v>4102</v>
      </c>
      <c r="S124" s="59">
        <f t="shared" si="837"/>
        <v>0</v>
      </c>
      <c r="T124" s="59">
        <f t="shared" si="838"/>
        <v>0</v>
      </c>
      <c r="U124" s="59">
        <f t="shared" si="839"/>
        <v>0</v>
      </c>
      <c r="V124" s="59">
        <v>2817</v>
      </c>
      <c r="W124" s="59">
        <f t="shared" si="864"/>
        <v>1408.5</v>
      </c>
      <c r="X124" s="59">
        <v>2106</v>
      </c>
      <c r="Y124" s="59">
        <f t="shared" si="848"/>
        <v>0</v>
      </c>
      <c r="Z124" s="59"/>
      <c r="AA124" s="59"/>
      <c r="AB124" s="59"/>
      <c r="AC124" s="59">
        <v>140</v>
      </c>
      <c r="AD124" s="59">
        <f t="shared" si="849"/>
        <v>807.49382160867503</v>
      </c>
      <c r="AE124" s="59">
        <v>14118.75</v>
      </c>
      <c r="AF124" s="62">
        <f t="shared" si="850"/>
        <v>0.24847265298482199</v>
      </c>
      <c r="AG124" s="62">
        <f t="shared" si="851"/>
        <v>0.32480345198175897</v>
      </c>
      <c r="AH124" s="62">
        <f t="shared" si="865"/>
        <v>0.16240172599088001</v>
      </c>
      <c r="AI124" s="59">
        <f t="shared" si="852"/>
        <v>48.408217059480698</v>
      </c>
      <c r="AJ124" s="59"/>
      <c r="AK124" s="59"/>
      <c r="AL124" s="59">
        <v>1395.72</v>
      </c>
      <c r="AM124" s="59">
        <v>58</v>
      </c>
      <c r="AN124" s="62">
        <v>1</v>
      </c>
      <c r="AO124" s="59">
        <f t="shared" si="853"/>
        <v>157.20483176539699</v>
      </c>
      <c r="AP124" s="59"/>
      <c r="AQ124" s="59"/>
      <c r="AR124" s="59">
        <v>7811</v>
      </c>
      <c r="AS124" s="59">
        <f t="shared" si="854"/>
        <v>106.995749483925</v>
      </c>
      <c r="AT124" s="189">
        <v>0.12520000000000001</v>
      </c>
      <c r="AU124" s="59">
        <f t="shared" si="855"/>
        <v>90.907902743066103</v>
      </c>
      <c r="AV124" s="59"/>
      <c r="AW124" s="59">
        <f t="shared" si="856"/>
        <v>0</v>
      </c>
      <c r="AX124" s="59"/>
      <c r="AY124" s="62">
        <v>80.019999999999996</v>
      </c>
      <c r="AZ124" s="62" t="s">
        <v>442</v>
      </c>
      <c r="BA124" s="59">
        <v>500</v>
      </c>
      <c r="BB124" s="59" t="s">
        <v>441</v>
      </c>
      <c r="BC124" s="59">
        <v>800</v>
      </c>
      <c r="BD124" s="62">
        <v>37.0105047261697</v>
      </c>
      <c r="BE124" s="59">
        <f t="shared" si="857"/>
        <v>463.85800661781798</v>
      </c>
      <c r="BF124" s="62" t="e">
        <f>VLOOKUP(B124,'2022年项目库建设情况'!B:O,14,0)</f>
        <v>#N/A</v>
      </c>
      <c r="BG124" s="59" t="e">
        <f t="shared" si="858"/>
        <v>#N/A</v>
      </c>
      <c r="BH124" s="53" t="e">
        <f>ROUND(AI124+AD124+#REF!+#REF!+BE124+BG124,0)</f>
        <v>#REF!</v>
      </c>
      <c r="BI124" s="59" t="e">
        <f t="shared" si="859"/>
        <v>#REF!</v>
      </c>
      <c r="BJ124" s="182" t="e">
        <f t="shared" si="860"/>
        <v>#REF!</v>
      </c>
      <c r="BK124" s="170">
        <f t="shared" si="861"/>
        <v>2974.8685292783598</v>
      </c>
      <c r="BL124" s="59">
        <v>3112</v>
      </c>
      <c r="BM124" s="59">
        <f t="shared" si="862"/>
        <v>2825.88753786499</v>
      </c>
      <c r="BN124" s="59">
        <f t="shared" si="863"/>
        <v>148.98099141336999</v>
      </c>
      <c r="BO124" s="43">
        <f t="shared" si="706"/>
        <v>5.2720070921834401e-002</v>
      </c>
      <c r="BP124" s="4"/>
    </row>
    <row r="125" s="5" customFormat="1" ht="17" customHeight="1">
      <c r="A125" s="46">
        <v>81</v>
      </c>
      <c r="B125" s="82" t="s">
        <v>169</v>
      </c>
      <c r="C125" s="46" t="s">
        <v>90</v>
      </c>
      <c r="D125" s="46">
        <v>2018</v>
      </c>
      <c r="E125" s="46"/>
      <c r="F125" s="46"/>
      <c r="G125" s="73" t="e">
        <f>VLOOKUP(B:B,#REF!,2,0)</f>
        <v>#REF!</v>
      </c>
      <c r="H125" s="73" t="e">
        <f t="shared" si="845"/>
        <v>#REF!</v>
      </c>
      <c r="I125" s="59" t="e">
        <f>VLOOKUP(B125,#REF!,4,0)</f>
        <v>#REF!</v>
      </c>
      <c r="J125" s="59" t="e">
        <f>VLOOKUP(B125,#REF!,2,0)</f>
        <v>#REF!</v>
      </c>
      <c r="K125" s="73" t="e">
        <f t="shared" si="846"/>
        <v>#REF!</v>
      </c>
      <c r="L125" s="73" t="e">
        <f t="shared" si="847"/>
        <v>#REF!</v>
      </c>
      <c r="M125" s="59">
        <v>3803</v>
      </c>
      <c r="N125" s="59">
        <v>655</v>
      </c>
      <c r="O125" s="73">
        <v>25551</v>
      </c>
      <c r="P125" s="59">
        <f t="shared" si="834"/>
        <v>15330.6</v>
      </c>
      <c r="Q125" s="59">
        <f t="shared" si="835"/>
        <v>0</v>
      </c>
      <c r="R125" s="59">
        <f t="shared" si="836"/>
        <v>0</v>
      </c>
      <c r="S125" s="59">
        <f t="shared" si="837"/>
        <v>15330.6</v>
      </c>
      <c r="T125" s="59">
        <f t="shared" si="838"/>
        <v>0</v>
      </c>
      <c r="U125" s="59">
        <f t="shared" si="839"/>
        <v>0</v>
      </c>
      <c r="V125" s="59">
        <v>4414</v>
      </c>
      <c r="W125" s="59">
        <f t="shared" si="864"/>
        <v>2207</v>
      </c>
      <c r="X125" s="59">
        <v>5198</v>
      </c>
      <c r="Y125" s="59">
        <f t="shared" si="848"/>
        <v>0</v>
      </c>
      <c r="Z125" s="59"/>
      <c r="AA125" s="59"/>
      <c r="AB125" s="59"/>
      <c r="AC125" s="59">
        <v>840</v>
      </c>
      <c r="AD125" s="59">
        <f t="shared" si="849"/>
        <v>1890.85177905152</v>
      </c>
      <c r="AE125" s="59">
        <v>12691.84</v>
      </c>
      <c r="AF125" s="62">
        <f t="shared" si="850"/>
        <v>0.47873009930579502</v>
      </c>
      <c r="AG125" s="62">
        <f t="shared" si="851"/>
        <v>1.4345147425698199</v>
      </c>
      <c r="AH125" s="62">
        <f t="shared" si="865"/>
        <v>0.71725737128490796</v>
      </c>
      <c r="AI125" s="59">
        <f t="shared" si="852"/>
        <v>213.79791566145201</v>
      </c>
      <c r="AJ125" s="59"/>
      <c r="AK125" s="59"/>
      <c r="AL125" s="59">
        <v>2153.3499999999999</v>
      </c>
      <c r="AM125" s="59">
        <v>45</v>
      </c>
      <c r="AN125" s="62">
        <v>1</v>
      </c>
      <c r="AO125" s="59">
        <f t="shared" si="853"/>
        <v>242.53935207779301</v>
      </c>
      <c r="AP125" s="59"/>
      <c r="AQ125" s="59"/>
      <c r="AR125" s="59">
        <v>15689</v>
      </c>
      <c r="AS125" s="59">
        <f t="shared" si="854"/>
        <v>214.90927072760101</v>
      </c>
      <c r="AT125" s="189">
        <v>0.27939999999999998</v>
      </c>
      <c r="AU125" s="59">
        <f t="shared" si="855"/>
        <v>202.872747814798</v>
      </c>
      <c r="AV125" s="59">
        <v>1</v>
      </c>
      <c r="AW125" s="59">
        <f t="shared" si="856"/>
        <v>1000</v>
      </c>
      <c r="AX125" s="59"/>
      <c r="AY125" s="62">
        <v>84.870000000000005</v>
      </c>
      <c r="AZ125" s="62" t="s">
        <v>442</v>
      </c>
      <c r="BA125" s="59">
        <v>500</v>
      </c>
      <c r="BB125" s="59" t="s">
        <v>443</v>
      </c>
      <c r="BC125" s="59"/>
      <c r="BD125" s="62">
        <v>38.272974439247299</v>
      </c>
      <c r="BE125" s="59">
        <f t="shared" si="857"/>
        <v>479.68072205648298</v>
      </c>
      <c r="BF125" s="62" t="e">
        <f>VLOOKUP(B125,'2022年项目库建设情况'!B:O,14,0)</f>
        <v>#N/A</v>
      </c>
      <c r="BG125" s="59" t="e">
        <f t="shared" si="858"/>
        <v>#N/A</v>
      </c>
      <c r="BH125" s="53" t="e">
        <f>ROUND(AI125+AD125+#REF!+#REF!+BE125+BG125,0)</f>
        <v>#REF!</v>
      </c>
      <c r="BI125" s="59" t="e">
        <f t="shared" si="859"/>
        <v>#REF!</v>
      </c>
      <c r="BJ125" s="182" t="e">
        <f t="shared" si="860"/>
        <v>#REF!</v>
      </c>
      <c r="BK125" s="170">
        <f t="shared" si="861"/>
        <v>4744.65178738964</v>
      </c>
      <c r="BL125" s="59">
        <v>3803</v>
      </c>
      <c r="BM125" s="59">
        <f t="shared" si="862"/>
        <v>3453.35806764157</v>
      </c>
      <c r="BN125" s="59">
        <f t="shared" si="863"/>
        <v>1291.2937197480701</v>
      </c>
      <c r="BO125" s="43">
        <f t="shared" si="706"/>
        <v>0.37392407461238097</v>
      </c>
      <c r="BP125" s="4"/>
    </row>
    <row r="126" s="5" customFormat="1" ht="17" customHeight="1">
      <c r="A126" s="46">
        <v>82</v>
      </c>
      <c r="B126" s="82" t="s">
        <v>170</v>
      </c>
      <c r="C126" s="46" t="s">
        <v>90</v>
      </c>
      <c r="D126" s="46">
        <v>2017</v>
      </c>
      <c r="E126" s="46"/>
      <c r="F126" s="46"/>
      <c r="G126" s="73" t="e">
        <f>VLOOKUP(B:B,#REF!,2,0)</f>
        <v>#REF!</v>
      </c>
      <c r="H126" s="73" t="e">
        <f t="shared" si="845"/>
        <v>#REF!</v>
      </c>
      <c r="I126" s="59" t="e">
        <f>VLOOKUP(B126,#REF!,4,0)</f>
        <v>#REF!</v>
      </c>
      <c r="J126" s="59" t="e">
        <f>VLOOKUP(B126,#REF!,2,0)</f>
        <v>#REF!</v>
      </c>
      <c r="K126" s="73" t="e">
        <f t="shared" si="846"/>
        <v>#REF!</v>
      </c>
      <c r="L126" s="73" t="e">
        <f t="shared" si="847"/>
        <v>#REF!</v>
      </c>
      <c r="M126" s="59">
        <v>2695</v>
      </c>
      <c r="N126" s="59">
        <v>332</v>
      </c>
      <c r="O126" s="73">
        <v>22690</v>
      </c>
      <c r="P126" s="59">
        <f t="shared" si="834"/>
        <v>9076</v>
      </c>
      <c r="Q126" s="59">
        <f t="shared" si="835"/>
        <v>0</v>
      </c>
      <c r="R126" s="59">
        <f t="shared" si="836"/>
        <v>9076</v>
      </c>
      <c r="S126" s="59">
        <f t="shared" si="837"/>
        <v>0</v>
      </c>
      <c r="T126" s="59">
        <f t="shared" si="838"/>
        <v>0</v>
      </c>
      <c r="U126" s="59">
        <f t="shared" si="839"/>
        <v>0</v>
      </c>
      <c r="V126" s="59">
        <v>2371</v>
      </c>
      <c r="W126" s="59">
        <f t="shared" si="864"/>
        <v>1185.5</v>
      </c>
      <c r="X126" s="59">
        <v>2771</v>
      </c>
      <c r="Y126" s="59">
        <f t="shared" si="848"/>
        <v>0</v>
      </c>
      <c r="Z126" s="59"/>
      <c r="AA126" s="59"/>
      <c r="AB126" s="59"/>
      <c r="AC126" s="59">
        <v>676</v>
      </c>
      <c r="AD126" s="59">
        <f t="shared" si="849"/>
        <v>1339.29824403265</v>
      </c>
      <c r="AE126" s="59">
        <v>12165.290000000001</v>
      </c>
      <c r="AF126" s="62">
        <f t="shared" si="850"/>
        <v>0.56369835824315595</v>
      </c>
      <c r="AG126" s="62">
        <f t="shared" si="851"/>
        <v>1.4126844555931699</v>
      </c>
      <c r="AH126" s="62">
        <f t="shared" si="865"/>
        <v>0.70634222779658595</v>
      </c>
      <c r="AI126" s="59">
        <f t="shared" si="852"/>
        <v>210.544362585004</v>
      </c>
      <c r="AJ126" s="59"/>
      <c r="AK126" s="59"/>
      <c r="AL126" s="59">
        <v>485.5</v>
      </c>
      <c r="AM126" s="59">
        <v>39</v>
      </c>
      <c r="AN126" s="62">
        <v>1</v>
      </c>
      <c r="AO126" s="59">
        <f t="shared" si="853"/>
        <v>54.683565344123501</v>
      </c>
      <c r="AP126" s="59"/>
      <c r="AQ126" s="59"/>
      <c r="AR126" s="59">
        <v>13270</v>
      </c>
      <c r="AS126" s="59">
        <f t="shared" si="854"/>
        <v>181.77360077476399</v>
      </c>
      <c r="AT126" s="189">
        <v>0.26550000000000001</v>
      </c>
      <c r="AU126" s="59">
        <f t="shared" si="855"/>
        <v>192.77993752622999</v>
      </c>
      <c r="AV126" s="59">
        <v>1</v>
      </c>
      <c r="AW126" s="59">
        <f t="shared" si="856"/>
        <v>1000</v>
      </c>
      <c r="AX126" s="59"/>
      <c r="AY126" s="62">
        <v>83.569999999999993</v>
      </c>
      <c r="AZ126" s="62" t="s">
        <v>442</v>
      </c>
      <c r="BA126" s="59">
        <v>500</v>
      </c>
      <c r="BB126" s="59" t="s">
        <v>441</v>
      </c>
      <c r="BC126" s="59">
        <v>800</v>
      </c>
      <c r="BD126" s="62">
        <v>36.855437023575902</v>
      </c>
      <c r="BE126" s="59">
        <f t="shared" si="857"/>
        <v>461.91452068191501</v>
      </c>
      <c r="BF126" s="62" t="e">
        <f>VLOOKUP(B126,'2022年项目库建设情况'!B:O,14,0)</f>
        <v>#N/A</v>
      </c>
      <c r="BG126" s="59" t="e">
        <f t="shared" si="858"/>
        <v>#N/A</v>
      </c>
      <c r="BH126" s="53" t="e">
        <f>ROUND(AI126+AD126+#REF!+#REF!+BE126+BG126,0)</f>
        <v>#REF!</v>
      </c>
      <c r="BI126" s="59" t="e">
        <f t="shared" si="859"/>
        <v>#REF!</v>
      </c>
      <c r="BJ126" s="182" t="e">
        <f t="shared" si="860"/>
        <v>#REF!</v>
      </c>
      <c r="BK126" s="170">
        <f t="shared" si="861"/>
        <v>4740.9942309446897</v>
      </c>
      <c r="BL126" s="59">
        <v>2695</v>
      </c>
      <c r="BM126" s="59">
        <f t="shared" si="862"/>
        <v>2447.2258722834699</v>
      </c>
      <c r="BN126" s="59">
        <f t="shared" si="863"/>
        <v>2293.7683586612202</v>
      </c>
      <c r="BO126" s="43">
        <f t="shared" si="706"/>
        <v>0.93729327751873803</v>
      </c>
      <c r="BP126" s="4"/>
    </row>
    <row r="127" s="5" customFormat="1" ht="17" customHeight="1">
      <c r="A127" s="46">
        <v>83</v>
      </c>
      <c r="B127" s="82" t="s">
        <v>171</v>
      </c>
      <c r="C127" s="46" t="s">
        <v>90</v>
      </c>
      <c r="D127" s="46">
        <v>2018</v>
      </c>
      <c r="E127" s="46"/>
      <c r="F127" s="46"/>
      <c r="G127" s="73" t="e">
        <f>VLOOKUP(B:B,#REF!,2,0)</f>
        <v>#REF!</v>
      </c>
      <c r="H127" s="73" t="e">
        <f t="shared" si="845"/>
        <v>#REF!</v>
      </c>
      <c r="I127" s="59" t="e">
        <f>VLOOKUP(B127,#REF!,4,0)</f>
        <v>#REF!</v>
      </c>
      <c r="J127" s="59" t="e">
        <f>VLOOKUP(B127,#REF!,2,0)</f>
        <v>#REF!</v>
      </c>
      <c r="K127" s="73" t="e">
        <f t="shared" si="846"/>
        <v>#REF!</v>
      </c>
      <c r="L127" s="73" t="e">
        <f t="shared" si="847"/>
        <v>#REF!</v>
      </c>
      <c r="M127" s="59">
        <v>5314</v>
      </c>
      <c r="N127" s="59">
        <v>851</v>
      </c>
      <c r="O127" s="73">
        <v>36343</v>
      </c>
      <c r="P127" s="59">
        <f t="shared" si="834"/>
        <v>21805.799999999999</v>
      </c>
      <c r="Q127" s="59">
        <f t="shared" si="835"/>
        <v>0</v>
      </c>
      <c r="R127" s="59">
        <f t="shared" si="836"/>
        <v>0</v>
      </c>
      <c r="S127" s="59">
        <f t="shared" si="837"/>
        <v>21805.799999999999</v>
      </c>
      <c r="T127" s="59">
        <f t="shared" si="838"/>
        <v>0</v>
      </c>
      <c r="U127" s="59">
        <f t="shared" si="839"/>
        <v>0</v>
      </c>
      <c r="V127" s="59">
        <v>4585</v>
      </c>
      <c r="W127" s="59">
        <f t="shared" si="864"/>
        <v>2292.5</v>
      </c>
      <c r="X127" s="59">
        <v>9495</v>
      </c>
      <c r="Y127" s="59">
        <f t="shared" si="848"/>
        <v>0</v>
      </c>
      <c r="Z127" s="59"/>
      <c r="AA127" s="59"/>
      <c r="AB127" s="59"/>
      <c r="AC127" s="59">
        <v>838</v>
      </c>
      <c r="AD127" s="59">
        <f t="shared" si="849"/>
        <v>2665.1545646797199</v>
      </c>
      <c r="AE127" s="59">
        <v>12056.379999999999</v>
      </c>
      <c r="AF127" s="62">
        <f t="shared" si="850"/>
        <v>0.58127293441040995</v>
      </c>
      <c r="AG127" s="62">
        <f t="shared" si="851"/>
        <v>2.3790338659549302</v>
      </c>
      <c r="AH127" s="62">
        <f t="shared" si="865"/>
        <v>1.18951693297746</v>
      </c>
      <c r="AI127" s="59">
        <f t="shared" si="852"/>
        <v>354.56762258015999</v>
      </c>
      <c r="AJ127" s="59"/>
      <c r="AK127" s="59"/>
      <c r="AL127" s="59">
        <v>6605.8000000000002</v>
      </c>
      <c r="AM127" s="59">
        <v>55</v>
      </c>
      <c r="AN127" s="62">
        <v>1</v>
      </c>
      <c r="AO127" s="59">
        <f t="shared" si="853"/>
        <v>744.03438918684003</v>
      </c>
      <c r="AP127" s="59"/>
      <c r="AQ127" s="59"/>
      <c r="AR127" s="59">
        <v>22525</v>
      </c>
      <c r="AS127" s="59">
        <f t="shared" si="854"/>
        <v>308.54938639423898</v>
      </c>
      <c r="AT127" s="189">
        <v>0.40899999999999997</v>
      </c>
      <c r="AU127" s="59">
        <f t="shared" si="855"/>
        <v>296.97549698014399</v>
      </c>
      <c r="AV127" s="59">
        <v>1</v>
      </c>
      <c r="AW127" s="59">
        <f t="shared" si="856"/>
        <v>1000</v>
      </c>
      <c r="AX127" s="59"/>
      <c r="AY127" s="62">
        <v>74.459999999999994</v>
      </c>
      <c r="AZ127" s="62" t="s">
        <v>440</v>
      </c>
      <c r="BA127" s="59"/>
      <c r="BB127" s="59" t="s">
        <v>443</v>
      </c>
      <c r="BC127" s="59"/>
      <c r="BD127" s="62">
        <v>33.532036177014902</v>
      </c>
      <c r="BE127" s="59">
        <f t="shared" si="857"/>
        <v>420.26185738311602</v>
      </c>
      <c r="BF127" s="62" t="e">
        <f>VLOOKUP(B127,'2022年项目库建设情况'!B:O,14,0)</f>
        <v>#N/A</v>
      </c>
      <c r="BG127" s="59" t="e">
        <f t="shared" si="858"/>
        <v>#N/A</v>
      </c>
      <c r="BH127" s="53" t="e">
        <f>ROUND(AI127+AD127+#REF!+#REF!+BE127+BG127,0)</f>
        <v>#REF!</v>
      </c>
      <c r="BI127" s="59" t="e">
        <f t="shared" si="859"/>
        <v>#REF!</v>
      </c>
      <c r="BJ127" s="182" t="e">
        <f t="shared" si="860"/>
        <v>#REF!</v>
      </c>
      <c r="BK127" s="170">
        <f t="shared" si="861"/>
        <v>5789.5433172042103</v>
      </c>
      <c r="BL127" s="59">
        <v>5314</v>
      </c>
      <c r="BM127" s="59">
        <f t="shared" si="862"/>
        <v>4825.4390669069899</v>
      </c>
      <c r="BN127" s="59">
        <f t="shared" si="863"/>
        <v>964.10425029722296</v>
      </c>
      <c r="BO127" s="43">
        <f t="shared" si="706"/>
        <v>0.19979617127673999</v>
      </c>
      <c r="BP127" s="4"/>
    </row>
    <row r="128" s="5" customFormat="1" ht="17" customHeight="1">
      <c r="A128" s="46">
        <v>84</v>
      </c>
      <c r="B128" s="82" t="s">
        <v>172</v>
      </c>
      <c r="C128" s="46" t="s">
        <v>90</v>
      </c>
      <c r="D128" s="46">
        <v>2018</v>
      </c>
      <c r="E128" s="46"/>
      <c r="F128" s="46"/>
      <c r="G128" s="73" t="e">
        <f>VLOOKUP(B:B,#REF!,2,0)</f>
        <v>#REF!</v>
      </c>
      <c r="H128" s="73" t="e">
        <f t="shared" si="845"/>
        <v>#REF!</v>
      </c>
      <c r="I128" s="59" t="e">
        <f>VLOOKUP(B128,#REF!,4,0)</f>
        <v>#REF!</v>
      </c>
      <c r="J128" s="59" t="e">
        <f>VLOOKUP(B128,#REF!,2,0)</f>
        <v>#REF!</v>
      </c>
      <c r="K128" s="73" t="e">
        <f t="shared" si="846"/>
        <v>#REF!</v>
      </c>
      <c r="L128" s="73" t="e">
        <f t="shared" si="847"/>
        <v>#REF!</v>
      </c>
      <c r="M128" s="59">
        <v>4765</v>
      </c>
      <c r="N128" s="59">
        <v>580</v>
      </c>
      <c r="O128" s="73">
        <v>20962</v>
      </c>
      <c r="P128" s="59">
        <f t="shared" si="834"/>
        <v>12577.200000000001</v>
      </c>
      <c r="Q128" s="59">
        <f t="shared" si="835"/>
        <v>0</v>
      </c>
      <c r="R128" s="59">
        <f t="shared" si="836"/>
        <v>0</v>
      </c>
      <c r="S128" s="59">
        <f t="shared" si="837"/>
        <v>12577.200000000001</v>
      </c>
      <c r="T128" s="59">
        <f t="shared" si="838"/>
        <v>0</v>
      </c>
      <c r="U128" s="59">
        <f t="shared" si="839"/>
        <v>0</v>
      </c>
      <c r="V128" s="59">
        <v>3233</v>
      </c>
      <c r="W128" s="59">
        <f t="shared" si="864"/>
        <v>1616.5</v>
      </c>
      <c r="X128" s="59">
        <v>2322</v>
      </c>
      <c r="Y128" s="59">
        <f t="shared" si="848"/>
        <v>0</v>
      </c>
      <c r="Z128" s="59"/>
      <c r="AA128" s="59"/>
      <c r="AB128" s="59"/>
      <c r="AC128" s="59">
        <v>528</v>
      </c>
      <c r="AD128" s="59">
        <f t="shared" si="849"/>
        <v>1283.5496741609099</v>
      </c>
      <c r="AE128" s="59">
        <v>12154.459999999999</v>
      </c>
      <c r="AF128" s="62">
        <f t="shared" si="850"/>
        <v>0.56544597241900196</v>
      </c>
      <c r="AG128" s="62">
        <f t="shared" si="851"/>
        <v>1.3680965302677699</v>
      </c>
      <c r="AH128" s="62">
        <f t="shared" si="865"/>
        <v>0.68404826513388695</v>
      </c>
      <c r="AI128" s="59">
        <f t="shared" si="852"/>
        <v>203.89904538097099</v>
      </c>
      <c r="AJ128" s="59"/>
      <c r="AK128" s="59"/>
      <c r="AL128" s="59">
        <v>2317.4000000000001</v>
      </c>
      <c r="AM128" s="59">
        <v>14</v>
      </c>
      <c r="AN128" s="62">
        <v>1</v>
      </c>
      <c r="AO128" s="59">
        <f t="shared" si="853"/>
        <v>261.016878122496</v>
      </c>
      <c r="AP128" s="59"/>
      <c r="AQ128" s="59"/>
      <c r="AR128" s="59">
        <v>15085</v>
      </c>
      <c r="AS128" s="59">
        <f t="shared" si="854"/>
        <v>206.63562680386701</v>
      </c>
      <c r="AT128" s="189">
        <v>0.23930000000000001</v>
      </c>
      <c r="AU128" s="59">
        <f t="shared" si="855"/>
        <v>173.75607928447101</v>
      </c>
      <c r="AV128" s="59">
        <v>1</v>
      </c>
      <c r="AW128" s="59">
        <f t="shared" si="856"/>
        <v>1000</v>
      </c>
      <c r="AX128" s="59"/>
      <c r="AY128" s="62">
        <v>87.040000000000006</v>
      </c>
      <c r="AZ128" s="62" t="s">
        <v>442</v>
      </c>
      <c r="BA128" s="59">
        <v>500</v>
      </c>
      <c r="BB128" s="59" t="s">
        <v>441</v>
      </c>
      <c r="BC128" s="59">
        <v>800</v>
      </c>
      <c r="BD128" s="62">
        <v>36.4182186655827</v>
      </c>
      <c r="BE128" s="59">
        <f t="shared" si="857"/>
        <v>456.434799789267</v>
      </c>
      <c r="BF128" s="62" t="e">
        <f>VLOOKUP(B128,'2022年项目库建设情况'!B:O,14,0)</f>
        <v>#N/A</v>
      </c>
      <c r="BG128" s="59" t="e">
        <f t="shared" si="858"/>
        <v>#N/A</v>
      </c>
      <c r="BH128" s="53" t="e">
        <f>ROUND(AI128+AD128+#REF!+#REF!+BE128+BG128,0)</f>
        <v>#REF!</v>
      </c>
      <c r="BI128" s="59" t="e">
        <f t="shared" si="859"/>
        <v>#REF!</v>
      </c>
      <c r="BJ128" s="182" t="e">
        <f t="shared" si="860"/>
        <v>#REF!</v>
      </c>
      <c r="BK128" s="170">
        <f t="shared" si="861"/>
        <v>4885.2921035419804</v>
      </c>
      <c r="BL128" s="59">
        <v>4765</v>
      </c>
      <c r="BM128" s="59">
        <f t="shared" si="862"/>
        <v>4326.9132769687303</v>
      </c>
      <c r="BN128" s="59">
        <f t="shared" si="863"/>
        <v>558.37882657325395</v>
      </c>
      <c r="BO128" s="43">
        <f t="shared" si="706"/>
        <v>0.12904784330792801</v>
      </c>
      <c r="BP128" s="4"/>
    </row>
    <row r="129" s="5" customFormat="1" ht="17" customHeight="1">
      <c r="A129" s="46">
        <v>85</v>
      </c>
      <c r="B129" s="82" t="s">
        <v>173</v>
      </c>
      <c r="C129" s="46" t="s">
        <v>78</v>
      </c>
      <c r="D129" s="46"/>
      <c r="E129" s="46"/>
      <c r="F129" s="46"/>
      <c r="G129" s="73" t="e">
        <f>VLOOKUP(B:B,#REF!,2,0)</f>
        <v>#REF!</v>
      </c>
      <c r="H129" s="73" t="e">
        <f t="shared" si="845"/>
        <v>#REF!</v>
      </c>
      <c r="I129" s="59" t="e">
        <f>VLOOKUP(B129,#REF!,4,0)</f>
        <v>#REF!</v>
      </c>
      <c r="J129" s="59" t="e">
        <f>VLOOKUP(B129,#REF!,2,0)</f>
        <v>#REF!</v>
      </c>
      <c r="K129" s="73" t="e">
        <f t="shared" si="846"/>
        <v>#REF!</v>
      </c>
      <c r="L129" s="73" t="e">
        <f t="shared" si="847"/>
        <v>#REF!</v>
      </c>
      <c r="M129" s="59">
        <v>2683</v>
      </c>
      <c r="N129" s="59">
        <v>334</v>
      </c>
      <c r="O129" s="73">
        <v>18733</v>
      </c>
      <c r="P129" s="59">
        <f t="shared" si="834"/>
        <v>3746.5999999999999</v>
      </c>
      <c r="Q129" s="59">
        <f t="shared" si="835"/>
        <v>3746.5999999999999</v>
      </c>
      <c r="R129" s="59">
        <f t="shared" si="836"/>
        <v>0</v>
      </c>
      <c r="S129" s="59">
        <f t="shared" si="837"/>
        <v>0</v>
      </c>
      <c r="T129" s="59">
        <f t="shared" si="838"/>
        <v>0</v>
      </c>
      <c r="U129" s="59">
        <f t="shared" si="839"/>
        <v>0</v>
      </c>
      <c r="V129" s="59">
        <v>2963</v>
      </c>
      <c r="W129" s="59">
        <f>V129*0.2</f>
        <v>592.60000000000002</v>
      </c>
      <c r="X129" s="59">
        <v>3836</v>
      </c>
      <c r="Y129" s="59">
        <f t="shared" si="848"/>
        <v>0</v>
      </c>
      <c r="Z129" s="59"/>
      <c r="AA129" s="59"/>
      <c r="AB129" s="59"/>
      <c r="AC129" s="59">
        <v>558</v>
      </c>
      <c r="AD129" s="59">
        <f t="shared" si="849"/>
        <v>1192.27797440481</v>
      </c>
      <c r="AE129" s="59">
        <v>12804.200000000001</v>
      </c>
      <c r="AF129" s="62">
        <f t="shared" si="850"/>
        <v>0.46059880394124902</v>
      </c>
      <c r="AG129" s="62">
        <f t="shared" si="851"/>
        <v>0.99931516503093398</v>
      </c>
      <c r="AH129" s="62">
        <f>AG129*0.2</f>
        <v>0.19986303300618699</v>
      </c>
      <c r="AI129" s="59">
        <f t="shared" si="852"/>
        <v>59.574570558892901</v>
      </c>
      <c r="AJ129" s="59"/>
      <c r="AK129" s="59"/>
      <c r="AL129" s="59">
        <v>2019.8</v>
      </c>
      <c r="AM129" s="59">
        <v>165</v>
      </c>
      <c r="AN129" s="62">
        <v>1</v>
      </c>
      <c r="AO129" s="59">
        <f t="shared" si="853"/>
        <v>227.497147851824</v>
      </c>
      <c r="AP129" s="59"/>
      <c r="AQ129" s="59"/>
      <c r="AR129" s="59">
        <v>11774</v>
      </c>
      <c r="AS129" s="59">
        <f t="shared" si="854"/>
        <v>161.28126416895799</v>
      </c>
      <c r="AT129" s="189">
        <v>0.22370000000000001</v>
      </c>
      <c r="AU129" s="59">
        <f t="shared" si="855"/>
        <v>162.42889651456801</v>
      </c>
      <c r="AV129" s="59">
        <v>1</v>
      </c>
      <c r="AW129" s="59">
        <f t="shared" si="856"/>
        <v>1000</v>
      </c>
      <c r="AX129" s="59"/>
      <c r="AY129" s="62">
        <v>84.879999999999995</v>
      </c>
      <c r="AZ129" s="62" t="s">
        <v>442</v>
      </c>
      <c r="BA129" s="59">
        <v>500</v>
      </c>
      <c r="BB129" s="59" t="s">
        <v>443</v>
      </c>
      <c r="BC129" s="59"/>
      <c r="BD129" s="62">
        <v>37.425236593154096</v>
      </c>
      <c r="BE129" s="59">
        <f t="shared" si="857"/>
        <v>469.05590106761298</v>
      </c>
      <c r="BF129" s="62" t="e">
        <f>VLOOKUP(B129,'2022年项目库建设情况'!B:O,14,0)</f>
        <v>#N/A</v>
      </c>
      <c r="BG129" s="59" t="e">
        <f t="shared" si="858"/>
        <v>#N/A</v>
      </c>
      <c r="BH129" s="53" t="e">
        <f>ROUND(AI129+AD129+#REF!+#REF!+BE129+BG129,0)</f>
        <v>#REF!</v>
      </c>
      <c r="BI129" s="59" t="e">
        <f t="shared" si="859"/>
        <v>#REF!</v>
      </c>
      <c r="BJ129" s="182" t="e">
        <f t="shared" si="860"/>
        <v>#REF!</v>
      </c>
      <c r="BK129" s="170">
        <f t="shared" si="861"/>
        <v>3772.1157545666701</v>
      </c>
      <c r="BL129" s="59">
        <v>2683</v>
      </c>
      <c r="BM129" s="59">
        <f t="shared" si="862"/>
        <v>2436.3291337055798</v>
      </c>
      <c r="BN129" s="59">
        <f t="shared" si="863"/>
        <v>1335.7866208610899</v>
      </c>
      <c r="BO129" s="43">
        <f t="shared" si="706"/>
        <v>0.54827839243107301</v>
      </c>
      <c r="BP129" s="4"/>
    </row>
    <row r="130" ht="17" customHeight="1">
      <c r="A130" s="46">
        <v>86</v>
      </c>
      <c r="B130" s="82" t="s">
        <v>174</v>
      </c>
      <c r="C130" s="46" t="s">
        <v>93</v>
      </c>
      <c r="D130" s="46">
        <v>2019</v>
      </c>
      <c r="E130" s="46" t="s">
        <v>94</v>
      </c>
      <c r="F130" s="46"/>
      <c r="G130" s="73" t="e">
        <f>VLOOKUP(B:B,#REF!,2,0)</f>
        <v>#REF!</v>
      </c>
      <c r="H130" s="73" t="e">
        <f t="shared" si="845"/>
        <v>#REF!</v>
      </c>
      <c r="I130" s="59" t="e">
        <f>VLOOKUP(B130,#REF!,4,0)</f>
        <v>#REF!</v>
      </c>
      <c r="J130" s="59" t="e">
        <f>VLOOKUP(B130,#REF!,2,0)</f>
        <v>#REF!</v>
      </c>
      <c r="K130" s="73" t="e">
        <f t="shared" si="846"/>
        <v>#REF!</v>
      </c>
      <c r="L130" s="73" t="e">
        <f t="shared" si="847"/>
        <v>#REF!</v>
      </c>
      <c r="M130" s="59">
        <v>19062</v>
      </c>
      <c r="N130" s="59">
        <v>4260</v>
      </c>
      <c r="O130" s="73">
        <v>95507</v>
      </c>
      <c r="P130" s="59">
        <f t="shared" si="834"/>
        <v>76405.600000000006</v>
      </c>
      <c r="Q130" s="59">
        <f t="shared" si="835"/>
        <v>0</v>
      </c>
      <c r="R130" s="59">
        <f t="shared" si="836"/>
        <v>0</v>
      </c>
      <c r="S130" s="59">
        <f t="shared" si="837"/>
        <v>0</v>
      </c>
      <c r="T130" s="59">
        <f t="shared" si="838"/>
        <v>76405.600000000006</v>
      </c>
      <c r="U130" s="59">
        <f t="shared" si="839"/>
        <v>0</v>
      </c>
      <c r="V130" s="59">
        <v>11154</v>
      </c>
      <c r="W130" s="59">
        <f>V130*1</f>
        <v>11154</v>
      </c>
      <c r="X130" s="59">
        <v>9638</v>
      </c>
      <c r="Y130" s="59">
        <f t="shared" si="848"/>
        <v>0</v>
      </c>
      <c r="Z130" s="59"/>
      <c r="AA130" s="59"/>
      <c r="AB130" s="59"/>
      <c r="AC130" s="59">
        <v>19</v>
      </c>
      <c r="AD130" s="59">
        <f t="shared" si="849"/>
        <v>5865.0606555266704</v>
      </c>
      <c r="AE130" s="59">
        <v>12053.959999999999</v>
      </c>
      <c r="AF130" s="62">
        <f t="shared" si="850"/>
        <v>0.58166344468793096</v>
      </c>
      <c r="AG130" s="62">
        <f t="shared" si="851"/>
        <v>6.20408046738594</v>
      </c>
      <c r="AH130" s="62">
        <f>AG130*1</f>
        <v>6.20408046738594</v>
      </c>
      <c r="AI130" s="59">
        <f t="shared" si="852"/>
        <v>1849.2936087179801</v>
      </c>
      <c r="AJ130" s="59">
        <f>P130</f>
        <v>76405.600000000006</v>
      </c>
      <c r="AK130" s="59">
        <f>AJ130/$AJ$9*2859</f>
        <v>54.358413206497097</v>
      </c>
      <c r="AL130" s="59">
        <v>15445.092000000001</v>
      </c>
      <c r="AM130" s="59">
        <v>40</v>
      </c>
      <c r="AN130" s="62">
        <v>1</v>
      </c>
      <c r="AO130" s="59">
        <f t="shared" si="853"/>
        <v>1739.63480458908</v>
      </c>
      <c r="AP130" s="59">
        <v>3000</v>
      </c>
      <c r="AQ130" s="59"/>
      <c r="AR130" s="59">
        <v>51147</v>
      </c>
      <c r="AS130" s="59">
        <f t="shared" si="854"/>
        <v>700.61600292591095</v>
      </c>
      <c r="AT130" s="189">
        <v>1.0881000000000001</v>
      </c>
      <c r="AU130" s="59">
        <f t="shared" si="855"/>
        <v>790.07099820072096</v>
      </c>
      <c r="AV130" s="59">
        <v>2</v>
      </c>
      <c r="AW130" s="59">
        <f t="shared" si="856"/>
        <v>2000</v>
      </c>
      <c r="AX130" s="59"/>
      <c r="AY130" s="62">
        <v>75.609999999999999</v>
      </c>
      <c r="AZ130" s="62" t="s">
        <v>440</v>
      </c>
      <c r="BA130" s="59"/>
      <c r="BB130" s="59" t="s">
        <v>441</v>
      </c>
      <c r="BC130" s="59">
        <v>1000</v>
      </c>
      <c r="BD130" s="62">
        <v>34.010036863080003</v>
      </c>
      <c r="BE130" s="59">
        <f t="shared" si="857"/>
        <v>426.25270908969497</v>
      </c>
      <c r="BF130" s="62" t="e">
        <f>VLOOKUP(B130,'2022年项目库建设情况'!B:O,14,0)</f>
        <v>#N/A</v>
      </c>
      <c r="BG130" s="59" t="e">
        <f t="shared" si="858"/>
        <v>#N/A</v>
      </c>
      <c r="BH130" s="53" t="e">
        <f>ROUND(AI130+AD130+#REF!+#REF!+BE130+BG130,0)</f>
        <v>#REF!</v>
      </c>
      <c r="BI130" s="59" t="e">
        <f t="shared" si="859"/>
        <v>#REF!</v>
      </c>
      <c r="BJ130" s="167" t="e">
        <f t="shared" si="860"/>
        <v>#REF!</v>
      </c>
      <c r="BK130" s="170">
        <f t="shared" si="861"/>
        <v>17370.9287790501</v>
      </c>
      <c r="BL130" s="59">
        <v>19062</v>
      </c>
      <c r="BM130" s="59">
        <f t="shared" si="862"/>
        <v>17309.469230971201</v>
      </c>
      <c r="BN130" s="59">
        <f t="shared" si="863"/>
        <v>61.459548078841202</v>
      </c>
      <c r="BO130" s="43">
        <f t="shared" si="706"/>
        <v>3.5506315796716499e-003</v>
      </c>
    </row>
    <row r="131" ht="17" customHeight="1">
      <c r="A131" s="46">
        <v>87</v>
      </c>
      <c r="B131" s="82" t="s">
        <v>175</v>
      </c>
      <c r="C131" s="46" t="s">
        <v>78</v>
      </c>
      <c r="D131" s="46"/>
      <c r="E131" s="46"/>
      <c r="F131" s="46"/>
      <c r="G131" s="73" t="e">
        <f>VLOOKUP(B:B,#REF!,2,0)</f>
        <v>#REF!</v>
      </c>
      <c r="H131" s="73" t="e">
        <f t="shared" si="845"/>
        <v>#REF!</v>
      </c>
      <c r="I131" s="59" t="e">
        <f>VLOOKUP(B131,#REF!,4,0)</f>
        <v>#REF!</v>
      </c>
      <c r="J131" s="59" t="e">
        <f>VLOOKUP(B131,#REF!,2,0)</f>
        <v>#REF!</v>
      </c>
      <c r="K131" s="73" t="e">
        <f t="shared" si="846"/>
        <v>#REF!</v>
      </c>
      <c r="L131" s="73" t="e">
        <f t="shared" si="847"/>
        <v>#REF!</v>
      </c>
      <c r="M131" s="59">
        <v>2810</v>
      </c>
      <c r="N131" s="59">
        <v>392</v>
      </c>
      <c r="O131" s="73">
        <v>24287</v>
      </c>
      <c r="P131" s="59">
        <f t="shared" si="834"/>
        <v>4857.3999999999996</v>
      </c>
      <c r="Q131" s="59">
        <f t="shared" si="835"/>
        <v>4857.3999999999996</v>
      </c>
      <c r="R131" s="59">
        <f t="shared" si="836"/>
        <v>0</v>
      </c>
      <c r="S131" s="59">
        <f t="shared" si="837"/>
        <v>0</v>
      </c>
      <c r="T131" s="59">
        <f t="shared" si="838"/>
        <v>0</v>
      </c>
      <c r="U131" s="59">
        <f t="shared" si="839"/>
        <v>0</v>
      </c>
      <c r="V131" s="59">
        <v>3289</v>
      </c>
      <c r="W131" s="59">
        <f>V131*0.2</f>
        <v>657.79999999999995</v>
      </c>
      <c r="X131" s="59">
        <v>4811</v>
      </c>
      <c r="Y131" s="59">
        <f t="shared" si="848"/>
        <v>0</v>
      </c>
      <c r="Z131" s="59"/>
      <c r="AA131" s="59"/>
      <c r="AB131" s="59"/>
      <c r="AC131" s="59">
        <v>722</v>
      </c>
      <c r="AD131" s="59">
        <f t="shared" si="849"/>
        <v>1509.4307856841201</v>
      </c>
      <c r="AE131" s="59">
        <v>13995.15</v>
      </c>
      <c r="AF131" s="62">
        <f t="shared" si="850"/>
        <v>0.26841772335735598</v>
      </c>
      <c r="AG131" s="62">
        <f t="shared" si="851"/>
        <v>0.74018871393024399</v>
      </c>
      <c r="AH131" s="62">
        <f>AG131*0.2</f>
        <v>0.148037742786049</v>
      </c>
      <c r="AI131" s="59">
        <f t="shared" si="852"/>
        <v>44.126644233972499</v>
      </c>
      <c r="AJ131" s="59"/>
      <c r="AK131" s="59"/>
      <c r="AL131" s="59">
        <v>1155.4200000000001</v>
      </c>
      <c r="AM131" s="59">
        <v>35</v>
      </c>
      <c r="AN131" s="62">
        <v>1</v>
      </c>
      <c r="AO131" s="59">
        <f t="shared" si="853"/>
        <v>130.139001173856</v>
      </c>
      <c r="AP131" s="59"/>
      <c r="AQ131" s="59"/>
      <c r="AR131" s="59">
        <v>14718</v>
      </c>
      <c r="AS131" s="59">
        <f t="shared" si="854"/>
        <v>201.60842925418001</v>
      </c>
      <c r="AT131" s="189">
        <v>0.26840000000000003</v>
      </c>
      <c r="AU131" s="59">
        <f t="shared" si="855"/>
        <v>194.88563175909701</v>
      </c>
      <c r="AV131" s="59">
        <v>1</v>
      </c>
      <c r="AW131" s="59">
        <f t="shared" si="856"/>
        <v>1000</v>
      </c>
      <c r="AX131" s="59"/>
      <c r="AY131" s="62">
        <v>78.349999999999994</v>
      </c>
      <c r="AZ131" s="62" t="s">
        <v>440</v>
      </c>
      <c r="BA131" s="59"/>
      <c r="BB131" s="59" t="s">
        <v>441</v>
      </c>
      <c r="BC131" s="59">
        <v>800</v>
      </c>
      <c r="BD131" s="62">
        <v>35.866677771428499</v>
      </c>
      <c r="BE131" s="59">
        <f t="shared" si="857"/>
        <v>449.52225802245101</v>
      </c>
      <c r="BF131" s="62" t="e">
        <f>VLOOKUP(B131,'2022年项目库建设情况'!B:O,14,0)</f>
        <v>#N/A</v>
      </c>
      <c r="BG131" s="59" t="e">
        <f t="shared" si="858"/>
        <v>#N/A</v>
      </c>
      <c r="BH131" s="53" t="e">
        <f>ROUND(AI131+AD131+#REF!+#REF!+BE131+BG131,0)</f>
        <v>#REF!</v>
      </c>
      <c r="BI131" s="59" t="e">
        <f t="shared" si="859"/>
        <v>#REF!</v>
      </c>
      <c r="BJ131" s="167" t="e">
        <f t="shared" si="860"/>
        <v>#REF!</v>
      </c>
      <c r="BK131" s="170">
        <f t="shared" si="861"/>
        <v>4329.71275012767</v>
      </c>
      <c r="BL131" s="59">
        <v>2810</v>
      </c>
      <c r="BM131" s="59">
        <f t="shared" si="862"/>
        <v>2551.6529503215402</v>
      </c>
      <c r="BN131" s="59">
        <f t="shared" si="863"/>
        <v>1778.0597998061401</v>
      </c>
      <c r="BO131" s="43">
        <f t="shared" si="706"/>
        <v>0.69682665880643402</v>
      </c>
    </row>
    <row r="132" s="64" customFormat="1" ht="17" customHeight="1">
      <c r="A132" s="65"/>
      <c r="B132" s="66" t="s">
        <v>176</v>
      </c>
      <c r="C132" s="67">
        <v>1</v>
      </c>
      <c r="D132" s="67"/>
      <c r="E132" s="67"/>
      <c r="F132" s="68"/>
      <c r="G132" s="69" t="e">
        <f t="shared" ref="G132:M132" si="866">G133+G134</f>
        <v>#REF!</v>
      </c>
      <c r="H132" s="69" t="e">
        <f t="shared" si="866"/>
        <v>#REF!</v>
      </c>
      <c r="I132" s="69" t="e">
        <f t="shared" si="866"/>
        <v>#REF!</v>
      </c>
      <c r="J132" s="69" t="e">
        <f t="shared" si="866"/>
        <v>#REF!</v>
      </c>
      <c r="K132" s="69" t="e">
        <f t="shared" si="866"/>
        <v>#REF!</v>
      </c>
      <c r="L132" s="69" t="e">
        <f t="shared" si="866"/>
        <v>#REF!</v>
      </c>
      <c r="M132" s="69">
        <f t="shared" si="866"/>
        <v>73333</v>
      </c>
      <c r="N132" s="69">
        <v>13404</v>
      </c>
      <c r="O132" s="69">
        <f t="shared" ref="O132:AD132" si="867">O133+O134</f>
        <v>392543</v>
      </c>
      <c r="P132" s="69">
        <f t="shared" si="867"/>
        <v>226634.79999999999</v>
      </c>
      <c r="Q132" s="69">
        <f t="shared" si="867"/>
        <v>2894.1999999999998</v>
      </c>
      <c r="R132" s="69">
        <f t="shared" si="867"/>
        <v>60852</v>
      </c>
      <c r="S132" s="69">
        <f t="shared" si="867"/>
        <v>53595</v>
      </c>
      <c r="T132" s="69">
        <f t="shared" si="867"/>
        <v>109293.60000000001</v>
      </c>
      <c r="U132" s="69">
        <f t="shared" si="867"/>
        <v>0</v>
      </c>
      <c r="V132" s="69">
        <f t="shared" si="867"/>
        <v>40540</v>
      </c>
      <c r="W132" s="69">
        <f t="shared" si="867"/>
        <v>34909.699999999997</v>
      </c>
      <c r="X132" s="69">
        <f t="shared" si="867"/>
        <v>17911</v>
      </c>
      <c r="Y132" s="69">
        <f t="shared" si="867"/>
        <v>0</v>
      </c>
      <c r="Z132" s="69">
        <f t="shared" si="867"/>
        <v>0</v>
      </c>
      <c r="AA132" s="69">
        <f t="shared" si="867"/>
        <v>0</v>
      </c>
      <c r="AB132" s="69">
        <f t="shared" si="867"/>
        <v>0</v>
      </c>
      <c r="AC132" s="69">
        <f t="shared" si="867"/>
        <v>10066</v>
      </c>
      <c r="AD132" s="69">
        <f t="shared" si="867"/>
        <v>22338.418985634598</v>
      </c>
      <c r="AE132" s="69"/>
      <c r="AF132" s="69">
        <f t="shared" ref="AF132:AL132" si="868">AF133+AF134</f>
        <v>8.5413731115923497</v>
      </c>
      <c r="AG132" s="69">
        <f t="shared" si="868"/>
        <v>31.6214646802818</v>
      </c>
      <c r="AH132" s="69">
        <f t="shared" si="868"/>
        <v>26.643910263884901</v>
      </c>
      <c r="AI132" s="69">
        <f t="shared" si="868"/>
        <v>7941.9364757237799</v>
      </c>
      <c r="AJ132" s="69">
        <f t="shared" si="868"/>
        <v>176397.60000000001</v>
      </c>
      <c r="AK132" s="69">
        <f t="shared" si="868"/>
        <v>125.497262366036</v>
      </c>
      <c r="AL132" s="69">
        <f t="shared" si="868"/>
        <v>111994.4295</v>
      </c>
      <c r="AM132" s="69">
        <v>218</v>
      </c>
      <c r="AN132" s="71">
        <v>5.8080299090563798</v>
      </c>
      <c r="AO132" s="69">
        <f t="shared" ref="AO132:BA132" si="869">AO133+AO134</f>
        <v>12614.324827479</v>
      </c>
      <c r="AP132" s="69">
        <f t="shared" si="869"/>
        <v>3000</v>
      </c>
      <c r="AQ132" s="69"/>
      <c r="AR132" s="69">
        <f t="shared" si="869"/>
        <v>204680</v>
      </c>
      <c r="AS132" s="69">
        <f t="shared" si="869"/>
        <v>2803.7242356125598</v>
      </c>
      <c r="AT132" s="69">
        <f t="shared" si="869"/>
        <v>4.1139999999999999</v>
      </c>
      <c r="AU132" s="69">
        <f t="shared" si="869"/>
        <v>2987.1814048320598</v>
      </c>
      <c r="AV132" s="69">
        <f t="shared" si="869"/>
        <v>19</v>
      </c>
      <c r="AW132" s="69">
        <f t="shared" si="869"/>
        <v>19000</v>
      </c>
      <c r="AX132" s="69">
        <f t="shared" si="869"/>
        <v>0</v>
      </c>
      <c r="AY132" s="69">
        <f t="shared" si="869"/>
        <v>915.21000000000004</v>
      </c>
      <c r="AZ132" s="69">
        <f t="shared" si="869"/>
        <v>0</v>
      </c>
      <c r="BA132" s="69">
        <f t="shared" si="869"/>
        <v>2600</v>
      </c>
      <c r="BB132" s="69"/>
      <c r="BC132" s="69">
        <f t="shared" ref="BC132:BK132" si="870">BC133+BC134</f>
        <v>7200</v>
      </c>
      <c r="BD132" s="71">
        <f t="shared" si="870"/>
        <v>376.79413999695498</v>
      </c>
      <c r="BE132" s="69">
        <f t="shared" si="870"/>
        <v>4722.4154325211903</v>
      </c>
      <c r="BF132" s="71" t="e">
        <f t="shared" si="870"/>
        <v>#N/A</v>
      </c>
      <c r="BG132" s="69" t="e">
        <f t="shared" si="870"/>
        <v>#N/A</v>
      </c>
      <c r="BH132" s="70" t="e">
        <f t="shared" si="870"/>
        <v>#REF!</v>
      </c>
      <c r="BI132" s="70" t="e">
        <f t="shared" si="870"/>
        <v>#REF!</v>
      </c>
      <c r="BJ132" s="183" t="e">
        <f t="shared" si="870"/>
        <v>#REF!</v>
      </c>
      <c r="BK132" s="184">
        <f t="shared" si="870"/>
        <v>85208.001361803297</v>
      </c>
      <c r="BL132" s="69">
        <v>73333</v>
      </c>
      <c r="BM132" s="184">
        <f>BM133+BM134</f>
        <v>66590.877511006896</v>
      </c>
      <c r="BN132" s="184">
        <f>BN133+BN134</f>
        <v>18617.123850796401</v>
      </c>
      <c r="BO132" s="43">
        <f t="shared" si="706"/>
        <v>0.27957468870595997</v>
      </c>
      <c r="BP132" s="185"/>
    </row>
    <row r="133" s="5" customFormat="1" ht="17" customHeight="1">
      <c r="A133" s="44"/>
      <c r="B133" s="72" t="s">
        <v>177</v>
      </c>
      <c r="C133" s="46">
        <v>2</v>
      </c>
      <c r="D133" s="46"/>
      <c r="E133" s="46"/>
      <c r="F133" s="46"/>
      <c r="G133" s="73"/>
      <c r="H133" s="73"/>
      <c r="I133" s="73"/>
      <c r="J133" s="73"/>
      <c r="K133" s="73"/>
      <c r="L133" s="73"/>
      <c r="M133" s="73"/>
      <c r="N133" s="73"/>
      <c r="O133" s="73"/>
      <c r="P133" s="59">
        <f t="shared" ref="P133:P146" si="871">SUM(Q133:U133)</f>
        <v>0</v>
      </c>
      <c r="Q133" s="59">
        <f t="shared" ref="Q133:Q146" si="872">IF(D133="",O133*0.2,0)</f>
        <v>0</v>
      </c>
      <c r="R133" s="59">
        <f t="shared" ref="R133:R146" si="873">IF(D133=2017,O133*0.4,0)</f>
        <v>0</v>
      </c>
      <c r="S133" s="59">
        <f t="shared" ref="S133:S146" si="874">IF(D133=2018,O133*0.6,0)</f>
        <v>0</v>
      </c>
      <c r="T133" s="59">
        <f t="shared" ref="T133:T146" si="875">IF(D133=2019,O133*0.8,0)</f>
        <v>0</v>
      </c>
      <c r="U133" s="59">
        <f t="shared" ref="U133:U146" si="876">IF(D133=2020,O133*1,0)</f>
        <v>0</v>
      </c>
      <c r="V133" s="59"/>
      <c r="W133" s="59"/>
      <c r="X133" s="59"/>
      <c r="Y133" s="59">
        <f>T133*0.4+U133*0.6+V133*0.8+X133*1</f>
        <v>0</v>
      </c>
      <c r="Z133" s="59"/>
      <c r="AA133" s="59"/>
      <c r="AB133" s="59"/>
      <c r="AC133" s="59"/>
      <c r="AD133" s="59"/>
      <c r="AE133" s="59"/>
      <c r="AF133" s="62"/>
      <c r="AG133" s="62"/>
      <c r="AH133" s="62"/>
      <c r="AI133" s="59"/>
      <c r="AJ133" s="59"/>
      <c r="AK133" s="59"/>
      <c r="AL133" s="59"/>
      <c r="AM133" s="59"/>
      <c r="AN133" s="62"/>
      <c r="AO133" s="59"/>
      <c r="AP133" s="59"/>
      <c r="AQ133" s="59"/>
      <c r="AR133" s="59"/>
      <c r="AS133" s="59"/>
      <c r="AT133" s="59"/>
      <c r="AU133" s="59"/>
      <c r="AV133" s="59"/>
      <c r="AW133" s="59"/>
      <c r="AX133" s="59"/>
      <c r="AY133" s="62"/>
      <c r="AZ133" s="62"/>
      <c r="BA133" s="59"/>
      <c r="BB133" s="59"/>
      <c r="BC133" s="59"/>
      <c r="BD133" s="62"/>
      <c r="BE133" s="59"/>
      <c r="BF133" s="62"/>
      <c r="BG133" s="59"/>
      <c r="BH133" s="53"/>
      <c r="BI133" s="59"/>
      <c r="BJ133" s="182"/>
      <c r="BK133" s="170"/>
      <c r="BL133" s="73"/>
      <c r="BM133" s="170"/>
      <c r="BN133" s="50"/>
      <c r="BO133" s="43"/>
      <c r="BP133" s="4"/>
    </row>
    <row r="134" s="74" customFormat="1" ht="17" customHeight="1">
      <c r="A134" s="75"/>
      <c r="B134" s="76" t="s">
        <v>76</v>
      </c>
      <c r="C134" s="77">
        <v>3</v>
      </c>
      <c r="D134" s="77"/>
      <c r="E134" s="77"/>
      <c r="F134" s="78"/>
      <c r="G134" s="79" t="e">
        <f t="shared" ref="G134:M134" si="877">SUM(G135:G146)</f>
        <v>#REF!</v>
      </c>
      <c r="H134" s="79" t="e">
        <f t="shared" si="877"/>
        <v>#REF!</v>
      </c>
      <c r="I134" s="79" t="e">
        <f t="shared" si="877"/>
        <v>#REF!</v>
      </c>
      <c r="J134" s="79" t="e">
        <f t="shared" si="877"/>
        <v>#REF!</v>
      </c>
      <c r="K134" s="79" t="e">
        <f t="shared" si="877"/>
        <v>#REF!</v>
      </c>
      <c r="L134" s="79" t="e">
        <f t="shared" si="877"/>
        <v>#REF!</v>
      </c>
      <c r="M134" s="79">
        <f t="shared" si="877"/>
        <v>73333</v>
      </c>
      <c r="N134" s="79">
        <v>13404</v>
      </c>
      <c r="O134" s="79">
        <f t="shared" ref="O134:AD134" si="878">SUM(O135:O146)</f>
        <v>392543</v>
      </c>
      <c r="P134" s="79">
        <f t="shared" si="878"/>
        <v>226634.79999999999</v>
      </c>
      <c r="Q134" s="79">
        <f t="shared" si="878"/>
        <v>2894.1999999999998</v>
      </c>
      <c r="R134" s="79">
        <f t="shared" si="878"/>
        <v>60852</v>
      </c>
      <c r="S134" s="79">
        <f t="shared" si="878"/>
        <v>53595</v>
      </c>
      <c r="T134" s="79">
        <f t="shared" si="878"/>
        <v>109293.60000000001</v>
      </c>
      <c r="U134" s="79">
        <f t="shared" si="878"/>
        <v>0</v>
      </c>
      <c r="V134" s="79">
        <f t="shared" si="878"/>
        <v>40540</v>
      </c>
      <c r="W134" s="79">
        <f t="shared" si="878"/>
        <v>34909.699999999997</v>
      </c>
      <c r="X134" s="79">
        <f t="shared" si="878"/>
        <v>17911</v>
      </c>
      <c r="Y134" s="79">
        <f t="shared" si="878"/>
        <v>0</v>
      </c>
      <c r="Z134" s="79">
        <f t="shared" si="878"/>
        <v>0</v>
      </c>
      <c r="AA134" s="79">
        <f t="shared" si="878"/>
        <v>0</v>
      </c>
      <c r="AB134" s="79">
        <f t="shared" si="878"/>
        <v>0</v>
      </c>
      <c r="AC134" s="79">
        <f t="shared" si="878"/>
        <v>10066</v>
      </c>
      <c r="AD134" s="79">
        <f t="shared" si="878"/>
        <v>22338.418985634598</v>
      </c>
      <c r="AE134" s="79"/>
      <c r="AF134" s="79">
        <f t="shared" ref="AF134:AL134" si="879">SUM(AF135:AF146)</f>
        <v>8.5413731115923497</v>
      </c>
      <c r="AG134" s="79">
        <f t="shared" si="879"/>
        <v>31.6214646802818</v>
      </c>
      <c r="AH134" s="79">
        <f t="shared" si="879"/>
        <v>26.643910263884901</v>
      </c>
      <c r="AI134" s="79">
        <f t="shared" si="879"/>
        <v>7941.9364757237799</v>
      </c>
      <c r="AJ134" s="79">
        <f t="shared" si="879"/>
        <v>176397.60000000001</v>
      </c>
      <c r="AK134" s="79">
        <f t="shared" si="879"/>
        <v>125.497262366036</v>
      </c>
      <c r="AL134" s="79">
        <f t="shared" si="879"/>
        <v>111994.4295</v>
      </c>
      <c r="AM134" s="79">
        <v>218</v>
      </c>
      <c r="AN134" s="81">
        <v>5.8080299090563798</v>
      </c>
      <c r="AO134" s="79">
        <f t="shared" ref="AO134:BA134" si="880">SUM(AO135:AO146)</f>
        <v>12614.324827479</v>
      </c>
      <c r="AP134" s="79">
        <f t="shared" si="880"/>
        <v>3000</v>
      </c>
      <c r="AQ134" s="79"/>
      <c r="AR134" s="79">
        <f t="shared" si="880"/>
        <v>204680</v>
      </c>
      <c r="AS134" s="79">
        <f t="shared" si="880"/>
        <v>2803.7242356125598</v>
      </c>
      <c r="AT134" s="79">
        <f t="shared" si="880"/>
        <v>4.1139999999999999</v>
      </c>
      <c r="AU134" s="79">
        <f t="shared" si="880"/>
        <v>2987.1814048320598</v>
      </c>
      <c r="AV134" s="79">
        <f t="shared" si="880"/>
        <v>19</v>
      </c>
      <c r="AW134" s="79">
        <f t="shared" si="880"/>
        <v>19000</v>
      </c>
      <c r="AX134" s="79">
        <f t="shared" si="880"/>
        <v>0</v>
      </c>
      <c r="AY134" s="79">
        <f t="shared" si="880"/>
        <v>915.21000000000004</v>
      </c>
      <c r="AZ134" s="79">
        <f t="shared" si="880"/>
        <v>0</v>
      </c>
      <c r="BA134" s="79">
        <f t="shared" si="880"/>
        <v>2600</v>
      </c>
      <c r="BB134" s="79"/>
      <c r="BC134" s="79">
        <f t="shared" ref="BC134:BK134" si="881">SUM(BC135:BC146)</f>
        <v>7200</v>
      </c>
      <c r="BD134" s="81">
        <f t="shared" si="881"/>
        <v>376.79413999695498</v>
      </c>
      <c r="BE134" s="79">
        <f t="shared" si="881"/>
        <v>4722.4154325211903</v>
      </c>
      <c r="BF134" s="81" t="e">
        <f t="shared" si="881"/>
        <v>#N/A</v>
      </c>
      <c r="BG134" s="79" t="e">
        <f t="shared" si="881"/>
        <v>#N/A</v>
      </c>
      <c r="BH134" s="80" t="e">
        <f t="shared" si="881"/>
        <v>#REF!</v>
      </c>
      <c r="BI134" s="80" t="e">
        <f t="shared" si="881"/>
        <v>#REF!</v>
      </c>
      <c r="BJ134" s="186" t="e">
        <f t="shared" si="881"/>
        <v>#REF!</v>
      </c>
      <c r="BK134" s="187">
        <f t="shared" si="881"/>
        <v>85208.001361803297</v>
      </c>
      <c r="BL134" s="79">
        <v>73333</v>
      </c>
      <c r="BM134" s="187">
        <f>SUM(BM135:BM146)</f>
        <v>66590.877511006896</v>
      </c>
      <c r="BN134" s="187">
        <f>SUM(BN135:BN146)</f>
        <v>18617.123850796401</v>
      </c>
      <c r="BO134" s="43">
        <f t="shared" si="706"/>
        <v>0.27957468870595997</v>
      </c>
      <c r="BP134" s="188"/>
    </row>
    <row r="135" ht="17" customHeight="1">
      <c r="A135" s="46">
        <v>88</v>
      </c>
      <c r="B135" s="82" t="s">
        <v>178</v>
      </c>
      <c r="C135" s="46" t="s">
        <v>78</v>
      </c>
      <c r="D135" s="46"/>
      <c r="E135" s="46"/>
      <c r="F135" s="46"/>
      <c r="G135" s="73" t="e">
        <f>VLOOKUP(B:B,#REF!,2,0)</f>
        <v>#REF!</v>
      </c>
      <c r="H135" s="73" t="e">
        <f t="shared" ref="H135:H146" si="882">G135*299423/381298.76</f>
        <v>#REF!</v>
      </c>
      <c r="I135" s="59" t="e">
        <f>VLOOKUP(B135,#REF!,4,0)</f>
        <v>#REF!</v>
      </c>
      <c r="J135" s="59" t="e">
        <f>VLOOKUP(B135,#REF!,2,0)</f>
        <v>#REF!</v>
      </c>
      <c r="K135" s="73" t="e">
        <f t="shared" ref="K135:K146" si="883">I135*1485211/1408452</f>
        <v>#REF!</v>
      </c>
      <c r="L135" s="73" t="e">
        <f t="shared" ref="L135:L146" si="884">J135*1485211/1408452</f>
        <v>#REF!</v>
      </c>
      <c r="M135" s="59">
        <v>3470</v>
      </c>
      <c r="N135" s="59">
        <v>159</v>
      </c>
      <c r="O135" s="73">
        <v>14471</v>
      </c>
      <c r="P135" s="59">
        <f t="shared" si="871"/>
        <v>2894.1999999999998</v>
      </c>
      <c r="Q135" s="59">
        <f t="shared" si="872"/>
        <v>2894.1999999999998</v>
      </c>
      <c r="R135" s="59">
        <f t="shared" si="873"/>
        <v>0</v>
      </c>
      <c r="S135" s="59">
        <f t="shared" si="874"/>
        <v>0</v>
      </c>
      <c r="T135" s="59">
        <f t="shared" si="875"/>
        <v>0</v>
      </c>
      <c r="U135" s="59">
        <f t="shared" si="876"/>
        <v>0</v>
      </c>
      <c r="V135" s="59">
        <v>891</v>
      </c>
      <c r="W135" s="59">
        <f>V135*0.2</f>
        <v>178.19999999999999</v>
      </c>
      <c r="X135" s="59">
        <v>153</v>
      </c>
      <c r="Y135" s="59">
        <f t="shared" ref="Y135:Y146" si="885">Z135+AA135+AB135*1.2</f>
        <v>0</v>
      </c>
      <c r="Z135" s="59"/>
      <c r="AA135" s="59"/>
      <c r="AB135" s="59"/>
      <c r="AC135" s="59">
        <v>379</v>
      </c>
      <c r="AD135" s="59">
        <f t="shared" ref="AD135:AD146" si="886">O135/$O$9*202299+W135/$W$9*134866+AC135/$AC$9*34867+X135/$X$9*100000</f>
        <v>576.74296293157101</v>
      </c>
      <c r="AE135" s="59">
        <v>12252.440000000001</v>
      </c>
      <c r="AF135" s="62">
        <f t="shared" ref="AF135:AF146" si="887">($AE$64-AE135)/($AE$64-$AE$44)</f>
        <v>0.54963514721591999</v>
      </c>
      <c r="AG135" s="62">
        <f t="shared" ref="AG135:AG146" si="888">(O135+V135)*AF135/10000</f>
        <v>0.84434951315309603</v>
      </c>
      <c r="AH135" s="62">
        <f>AG135*0.2</f>
        <v>0.16886990263061899</v>
      </c>
      <c r="AI135" s="59">
        <f t="shared" ref="AI135:AI146" si="889">AH135/$AH$9*1348663*0.1</f>
        <v>50.336231659357303</v>
      </c>
      <c r="AJ135" s="59"/>
      <c r="AK135" s="59"/>
      <c r="AL135" s="59">
        <v>2585.3499999999999</v>
      </c>
      <c r="AM135" s="59">
        <v>8</v>
      </c>
      <c r="AN135" s="62">
        <v>0.56187031774735197</v>
      </c>
      <c r="AO135" s="59">
        <f t="shared" ref="AO135:AO146" si="890">(AL135/$AL$9*80000)</f>
        <v>291.19702505134802</v>
      </c>
      <c r="AP135" s="59"/>
      <c r="AQ135" s="59"/>
      <c r="AR135" s="59">
        <v>9208</v>
      </c>
      <c r="AS135" s="59">
        <f t="shared" ref="AS135:AS146" si="891">AR135/$AR$9*50000</f>
        <v>126.131975579052</v>
      </c>
      <c r="AT135" s="189">
        <v>0.14299999999999999</v>
      </c>
      <c r="AU135" s="59">
        <f t="shared" ref="AU135:AU146" si="892">AT135/$AT$9*50000</f>
        <v>103.832508724109</v>
      </c>
      <c r="AV135" s="59">
        <v>1</v>
      </c>
      <c r="AW135" s="59">
        <f t="shared" ref="AW135:AW146" si="893">AV135*1000</f>
        <v>1000</v>
      </c>
      <c r="AX135" s="59"/>
      <c r="AY135" s="62">
        <v>80.540000000000006</v>
      </c>
      <c r="AZ135" s="62" t="s">
        <v>442</v>
      </c>
      <c r="BA135" s="59">
        <v>500</v>
      </c>
      <c r="BB135" s="59" t="s">
        <v>441</v>
      </c>
      <c r="BC135" s="59">
        <v>800</v>
      </c>
      <c r="BD135" s="62">
        <v>14.184064252804699</v>
      </c>
      <c r="BE135" s="59">
        <f t="shared" ref="BE135:BE146" si="894">BD135/$BD$9*42266</f>
        <v>177.77092797637101</v>
      </c>
      <c r="BF135" s="62" t="e">
        <f>VLOOKUP(B135,'2022年项目库建设情况'!B:O,14,0)</f>
        <v>#N/A</v>
      </c>
      <c r="BG135" s="59" t="e">
        <f t="shared" ref="BG135:BG146" si="895">BF135/$BF$9*1348663*0.025</f>
        <v>#N/A</v>
      </c>
      <c r="BH135" s="53" t="e">
        <f>ROUND(AI135+AD135+#REF!+#REF!+BE135+BG135,0)</f>
        <v>#REF!</v>
      </c>
      <c r="BI135" s="59" t="e">
        <f t="shared" ref="BI135:BI146" si="896">N135-G135</f>
        <v>#REF!</v>
      </c>
      <c r="BJ135" s="167" t="e">
        <f t="shared" ref="BJ135:BJ146" si="897">BI135/G135</f>
        <v>#REF!</v>
      </c>
      <c r="BK135" s="170">
        <f t="shared" ref="BK135:BK146" si="898">AD135+AI135+AO135+AP135+AS135+AU135+AW135+AX135+BA135+BC135+BE135</f>
        <v>3626.01163192181</v>
      </c>
      <c r="BL135" s="59">
        <v>3470</v>
      </c>
      <c r="BM135" s="59">
        <f t="shared" ref="BM135:BM146" si="899">BL135/$BL$9*1348663</f>
        <v>3150.9735721052398</v>
      </c>
      <c r="BN135" s="59">
        <f t="shared" ref="BN135:BN146" si="900">BK135-BM135</f>
        <v>475.03805981656598</v>
      </c>
      <c r="BO135" s="43">
        <f t="shared" si="706"/>
        <v>0.15075913807146901</v>
      </c>
    </row>
    <row r="136" s="54" customFormat="1" ht="17" customHeight="1">
      <c r="A136" s="46">
        <v>89</v>
      </c>
      <c r="B136" s="82" t="s">
        <v>179</v>
      </c>
      <c r="C136" s="46" t="s">
        <v>90</v>
      </c>
      <c r="D136" s="46">
        <v>2018</v>
      </c>
      <c r="E136" s="46"/>
      <c r="F136" s="46"/>
      <c r="G136" s="190" t="e">
        <f>VLOOKUP(B:B,#REF!,2,0)</f>
        <v>#REF!</v>
      </c>
      <c r="H136" s="190" t="e">
        <f t="shared" si="882"/>
        <v>#REF!</v>
      </c>
      <c r="I136" s="59" t="e">
        <f>VLOOKUP(B136,#REF!,4,0)</f>
        <v>#REF!</v>
      </c>
      <c r="J136" s="59" t="e">
        <f>VLOOKUP(B136,#REF!,2,0)</f>
        <v>#REF!</v>
      </c>
      <c r="K136" s="73" t="e">
        <f t="shared" si="883"/>
        <v>#REF!</v>
      </c>
      <c r="L136" s="73" t="e">
        <f t="shared" si="884"/>
        <v>#REF!</v>
      </c>
      <c r="M136" s="59">
        <v>8628</v>
      </c>
      <c r="N136" s="59">
        <v>2288</v>
      </c>
      <c r="O136" s="190">
        <v>15569</v>
      </c>
      <c r="P136" s="172">
        <f t="shared" si="871"/>
        <v>9341.3999999999996</v>
      </c>
      <c r="Q136" s="172">
        <f t="shared" si="872"/>
        <v>0</v>
      </c>
      <c r="R136" s="172">
        <f t="shared" si="873"/>
        <v>0</v>
      </c>
      <c r="S136" s="172">
        <f t="shared" si="874"/>
        <v>9341.3999999999996</v>
      </c>
      <c r="T136" s="172">
        <f t="shared" si="875"/>
        <v>0</v>
      </c>
      <c r="U136" s="172">
        <f t="shared" si="876"/>
        <v>0</v>
      </c>
      <c r="V136" s="59">
        <v>2137</v>
      </c>
      <c r="W136" s="59">
        <f t="shared" ref="W136:W138" si="901">V136*0.5</f>
        <v>1068.5</v>
      </c>
      <c r="X136" s="59">
        <v>1058</v>
      </c>
      <c r="Y136" s="59">
        <f t="shared" si="885"/>
        <v>0</v>
      </c>
      <c r="Z136" s="59"/>
      <c r="AA136" s="172"/>
      <c r="AB136" s="172"/>
      <c r="AC136" s="59">
        <v>0</v>
      </c>
      <c r="AD136" s="59">
        <f t="shared" si="886"/>
        <v>770.15052110828003</v>
      </c>
      <c r="AE136" s="59">
        <v>10305.219999999999</v>
      </c>
      <c r="AF136" s="62">
        <f t="shared" si="887"/>
        <v>0.86385391688263102</v>
      </c>
      <c r="AG136" s="62">
        <f t="shared" si="888"/>
        <v>1.52953974523239</v>
      </c>
      <c r="AH136" s="62">
        <f t="shared" ref="AH136:AH138" si="902">AG136*0.5</f>
        <v>0.764769872616193</v>
      </c>
      <c r="AI136" s="59">
        <f t="shared" si="889"/>
        <v>227.960298871671</v>
      </c>
      <c r="AJ136" s="172"/>
      <c r="AK136" s="59"/>
      <c r="AL136" s="59">
        <v>2860.3800000000001</v>
      </c>
      <c r="AM136" s="59">
        <v>5</v>
      </c>
      <c r="AN136" s="62">
        <v>0.38961038961039002</v>
      </c>
      <c r="AO136" s="59">
        <f t="shared" si="890"/>
        <v>322.174617176156</v>
      </c>
      <c r="AP136" s="59"/>
      <c r="AQ136" s="59"/>
      <c r="AR136" s="59">
        <v>7569</v>
      </c>
      <c r="AS136" s="59">
        <f t="shared" si="891"/>
        <v>103.680812680044</v>
      </c>
      <c r="AT136" s="189">
        <v>0.16400000000000001</v>
      </c>
      <c r="AU136" s="59">
        <f t="shared" si="892"/>
        <v>119.080639375901</v>
      </c>
      <c r="AV136" s="59">
        <v>1</v>
      </c>
      <c r="AW136" s="59">
        <f t="shared" si="893"/>
        <v>1000</v>
      </c>
      <c r="AX136" s="59"/>
      <c r="AY136" s="62">
        <v>75.260000000000005</v>
      </c>
      <c r="AZ136" s="62" t="s">
        <v>440</v>
      </c>
      <c r="BA136" s="59"/>
      <c r="BB136" s="59" t="s">
        <v>443</v>
      </c>
      <c r="BC136" s="59"/>
      <c r="BD136" s="62">
        <v>35.593163376641002</v>
      </c>
      <c r="BE136" s="59">
        <f t="shared" si="894"/>
        <v>446.09426256856398</v>
      </c>
      <c r="BF136" s="62" t="e">
        <f>VLOOKUP(B136,'2022年项目库建设情况'!B:O,14,0)</f>
        <v>#N/A</v>
      </c>
      <c r="BG136" s="59" t="e">
        <f t="shared" si="895"/>
        <v>#N/A</v>
      </c>
      <c r="BH136" s="53" t="e">
        <f>ROUND(AI136+AD136+#REF!+#REF!+BE136+BG136,0)</f>
        <v>#REF!</v>
      </c>
      <c r="BI136" s="59" t="e">
        <f t="shared" si="896"/>
        <v>#REF!</v>
      </c>
      <c r="BJ136" s="167" t="e">
        <f t="shared" si="897"/>
        <v>#REF!</v>
      </c>
      <c r="BK136" s="170">
        <f t="shared" si="898"/>
        <v>2989.14115178062</v>
      </c>
      <c r="BL136" s="59">
        <v>8628</v>
      </c>
      <c r="BM136" s="59">
        <f t="shared" si="899"/>
        <v>7834.7550374997199</v>
      </c>
      <c r="BN136" s="59">
        <f t="shared" si="900"/>
        <v>-4845.6138857191099</v>
      </c>
      <c r="BO136" s="43">
        <f t="shared" si="706"/>
        <v>-0.61847675677495995</v>
      </c>
      <c r="BP136" s="4"/>
    </row>
    <row r="137" ht="17" customHeight="1">
      <c r="A137" s="46">
        <v>90</v>
      </c>
      <c r="B137" s="82" t="s">
        <v>180</v>
      </c>
      <c r="C137" s="46" t="s">
        <v>90</v>
      </c>
      <c r="D137" s="46">
        <v>2017</v>
      </c>
      <c r="E137" s="46"/>
      <c r="F137" s="46"/>
      <c r="G137" s="73" t="e">
        <f>VLOOKUP(B:B,#REF!,2,0)</f>
        <v>#REF!</v>
      </c>
      <c r="H137" s="73" t="e">
        <f t="shared" si="882"/>
        <v>#REF!</v>
      </c>
      <c r="I137" s="59" t="e">
        <f>VLOOKUP(B137,#REF!,4,0)</f>
        <v>#REF!</v>
      </c>
      <c r="J137" s="59" t="e">
        <f>VLOOKUP(B137,#REF!,2,0)</f>
        <v>#REF!</v>
      </c>
      <c r="K137" s="73" t="e">
        <f t="shared" si="883"/>
        <v>#REF!</v>
      </c>
      <c r="L137" s="73" t="e">
        <f t="shared" si="884"/>
        <v>#REF!</v>
      </c>
      <c r="M137" s="59">
        <v>2364</v>
      </c>
      <c r="N137" s="59">
        <v>319</v>
      </c>
      <c r="O137" s="73">
        <v>30588</v>
      </c>
      <c r="P137" s="59">
        <f t="shared" si="871"/>
        <v>12235.200000000001</v>
      </c>
      <c r="Q137" s="59">
        <f t="shared" si="872"/>
        <v>0</v>
      </c>
      <c r="R137" s="59">
        <f t="shared" si="873"/>
        <v>12235.200000000001</v>
      </c>
      <c r="S137" s="59">
        <f t="shared" si="874"/>
        <v>0</v>
      </c>
      <c r="T137" s="59">
        <f t="shared" si="875"/>
        <v>0</v>
      </c>
      <c r="U137" s="59">
        <f t="shared" si="876"/>
        <v>0</v>
      </c>
      <c r="V137" s="59">
        <v>1438</v>
      </c>
      <c r="W137" s="59">
        <f t="shared" si="901"/>
        <v>719</v>
      </c>
      <c r="X137" s="59">
        <v>820</v>
      </c>
      <c r="Y137" s="59">
        <f t="shared" si="885"/>
        <v>0</v>
      </c>
      <c r="Z137" s="59"/>
      <c r="AA137" s="59"/>
      <c r="AB137" s="59"/>
      <c r="AC137" s="59">
        <v>701</v>
      </c>
      <c r="AD137" s="59">
        <f t="shared" si="886"/>
        <v>1306.3198953378001</v>
      </c>
      <c r="AE137" s="59">
        <v>11053.360000000001</v>
      </c>
      <c r="AF137" s="62">
        <f t="shared" si="887"/>
        <v>0.743128148690822</v>
      </c>
      <c r="AG137" s="62">
        <f t="shared" si="888"/>
        <v>2.37994220899723</v>
      </c>
      <c r="AH137" s="62">
        <f t="shared" si="902"/>
        <v>1.1899711044986101</v>
      </c>
      <c r="AI137" s="59">
        <f t="shared" si="889"/>
        <v>354.70300065846499</v>
      </c>
      <c r="AJ137" s="59"/>
      <c r="AK137" s="59"/>
      <c r="AL137" s="59">
        <v>1163.2</v>
      </c>
      <c r="AM137" s="59">
        <v>8</v>
      </c>
      <c r="AN137" s="62">
        <v>0.65594269758407198</v>
      </c>
      <c r="AO137" s="59">
        <f t="shared" si="890"/>
        <v>131.01528982138899</v>
      </c>
      <c r="AP137" s="59"/>
      <c r="AQ137" s="59"/>
      <c r="AR137" s="59">
        <v>10415</v>
      </c>
      <c r="AS137" s="59">
        <f t="shared" si="891"/>
        <v>142.66556534055499</v>
      </c>
      <c r="AT137" s="189">
        <v>0.30599999999999999</v>
      </c>
      <c r="AU137" s="59">
        <f t="shared" si="892"/>
        <v>222.18704664040101</v>
      </c>
      <c r="AV137" s="59">
        <v>1</v>
      </c>
      <c r="AW137" s="59">
        <f t="shared" si="893"/>
        <v>1000</v>
      </c>
      <c r="AX137" s="59"/>
      <c r="AY137" s="62">
        <v>74.980000000000004</v>
      </c>
      <c r="AZ137" s="62" t="s">
        <v>440</v>
      </c>
      <c r="BA137" s="59"/>
      <c r="BB137" s="59" t="s">
        <v>441</v>
      </c>
      <c r="BC137" s="59">
        <v>800</v>
      </c>
      <c r="BD137" s="62">
        <v>35.487758353925599</v>
      </c>
      <c r="BE137" s="59">
        <f t="shared" si="894"/>
        <v>444.77320617968098</v>
      </c>
      <c r="BF137" s="62" t="e">
        <f>VLOOKUP(B137,'2022年项目库建设情况'!B:O,14,0)</f>
        <v>#N/A</v>
      </c>
      <c r="BG137" s="59" t="e">
        <f t="shared" si="895"/>
        <v>#N/A</v>
      </c>
      <c r="BH137" s="53" t="e">
        <f>ROUND(AI137+AD137+#REF!+#REF!+BE137+BG137,0)</f>
        <v>#REF!</v>
      </c>
      <c r="BI137" s="59" t="e">
        <f t="shared" si="896"/>
        <v>#REF!</v>
      </c>
      <c r="BJ137" s="167" t="e">
        <f t="shared" si="897"/>
        <v>#REF!</v>
      </c>
      <c r="BK137" s="170">
        <f t="shared" si="898"/>
        <v>4401.6640039782897</v>
      </c>
      <c r="BL137" s="59">
        <v>2364</v>
      </c>
      <c r="BM137" s="59">
        <f t="shared" si="899"/>
        <v>2146.6574998434598</v>
      </c>
      <c r="BN137" s="59">
        <f t="shared" si="900"/>
        <v>2255.0065041348298</v>
      </c>
      <c r="BO137" s="43">
        <f t="shared" si="706"/>
        <v>1.0504733541793601</v>
      </c>
    </row>
    <row r="138" ht="17" customHeight="1">
      <c r="A138" s="46">
        <v>91</v>
      </c>
      <c r="B138" s="82" t="s">
        <v>181</v>
      </c>
      <c r="C138" s="46" t="s">
        <v>90</v>
      </c>
      <c r="D138" s="46">
        <v>2017</v>
      </c>
      <c r="E138" s="46"/>
      <c r="F138" s="46"/>
      <c r="G138" s="73" t="e">
        <f>VLOOKUP(B:B,#REF!,2,0)</f>
        <v>#REF!</v>
      </c>
      <c r="H138" s="73" t="e">
        <f t="shared" si="882"/>
        <v>#REF!</v>
      </c>
      <c r="I138" s="59" t="e">
        <f>VLOOKUP(B138,#REF!,4,0)</f>
        <v>#REF!</v>
      </c>
      <c r="J138" s="59" t="e">
        <f>VLOOKUP(B138,#REF!,2,0)</f>
        <v>#REF!</v>
      </c>
      <c r="K138" s="73" t="e">
        <f t="shared" si="883"/>
        <v>#REF!</v>
      </c>
      <c r="L138" s="73" t="e">
        <f t="shared" si="884"/>
        <v>#REF!</v>
      </c>
      <c r="M138" s="59">
        <v>2729</v>
      </c>
      <c r="N138" s="59">
        <v>407</v>
      </c>
      <c r="O138" s="73">
        <v>34586</v>
      </c>
      <c r="P138" s="59">
        <f t="shared" si="871"/>
        <v>13834.4</v>
      </c>
      <c r="Q138" s="59">
        <f t="shared" si="872"/>
        <v>0</v>
      </c>
      <c r="R138" s="59">
        <f t="shared" si="873"/>
        <v>13834.4</v>
      </c>
      <c r="S138" s="59">
        <f t="shared" si="874"/>
        <v>0</v>
      </c>
      <c r="T138" s="59">
        <f t="shared" si="875"/>
        <v>0</v>
      </c>
      <c r="U138" s="59">
        <f t="shared" si="876"/>
        <v>0</v>
      </c>
      <c r="V138" s="59">
        <v>3139</v>
      </c>
      <c r="W138" s="59">
        <f t="shared" si="901"/>
        <v>1569.5</v>
      </c>
      <c r="X138" s="59">
        <v>1427</v>
      </c>
      <c r="Y138" s="59">
        <f t="shared" si="885"/>
        <v>0</v>
      </c>
      <c r="Z138" s="59"/>
      <c r="AA138" s="59"/>
      <c r="AB138" s="59"/>
      <c r="AC138" s="59">
        <v>61</v>
      </c>
      <c r="AD138" s="59">
        <f t="shared" si="886"/>
        <v>1489.2022373515399</v>
      </c>
      <c r="AE138" s="59">
        <v>10633.58</v>
      </c>
      <c r="AF138" s="62">
        <f t="shared" si="887"/>
        <v>0.81086715873113202</v>
      </c>
      <c r="AG138" s="62">
        <f t="shared" si="888"/>
        <v>3.0589963563131999</v>
      </c>
      <c r="AH138" s="62">
        <f t="shared" si="902"/>
        <v>1.5294981781565999</v>
      </c>
      <c r="AI138" s="59">
        <f t="shared" si="889"/>
        <v>455.90820755465899</v>
      </c>
      <c r="AJ138" s="59"/>
      <c r="AK138" s="59"/>
      <c r="AL138" s="59">
        <v>17233.5</v>
      </c>
      <c r="AM138" s="59">
        <v>42</v>
      </c>
      <c r="AN138" s="62">
        <v>0.25648079568299698</v>
      </c>
      <c r="AO138" s="59">
        <f t="shared" si="890"/>
        <v>1941.06946108744</v>
      </c>
      <c r="AP138" s="59"/>
      <c r="AQ138" s="59"/>
      <c r="AR138" s="59">
        <v>17907</v>
      </c>
      <c r="AS138" s="59">
        <f t="shared" si="891"/>
        <v>245.29162540118301</v>
      </c>
      <c r="AT138" s="189">
        <v>0.34699999999999998</v>
      </c>
      <c r="AU138" s="59">
        <f t="shared" si="892"/>
        <v>251.957206484377</v>
      </c>
      <c r="AV138" s="59">
        <v>1</v>
      </c>
      <c r="AW138" s="59">
        <f t="shared" si="893"/>
        <v>1000</v>
      </c>
      <c r="AX138" s="59"/>
      <c r="AY138" s="62">
        <v>67.650000000000006</v>
      </c>
      <c r="AZ138" s="62" t="s">
        <v>440</v>
      </c>
      <c r="BA138" s="59"/>
      <c r="BB138" s="59" t="s">
        <v>441</v>
      </c>
      <c r="BC138" s="59">
        <v>800</v>
      </c>
      <c r="BD138" s="62">
        <v>34.311618870418897</v>
      </c>
      <c r="BE138" s="59">
        <f t="shared" si="894"/>
        <v>430.03247998963298</v>
      </c>
      <c r="BF138" s="62" t="e">
        <f>VLOOKUP(B138,'2022年项目库建设情况'!B:O,14,0)</f>
        <v>#N/A</v>
      </c>
      <c r="BG138" s="59" t="e">
        <f t="shared" si="895"/>
        <v>#N/A</v>
      </c>
      <c r="BH138" s="53" t="e">
        <f>ROUND(AI138+AD138+#REF!+#REF!+BE138+BG138,0)</f>
        <v>#REF!</v>
      </c>
      <c r="BI138" s="59" t="e">
        <f t="shared" si="896"/>
        <v>#REF!</v>
      </c>
      <c r="BJ138" s="167" t="e">
        <f t="shared" si="897"/>
        <v>#REF!</v>
      </c>
      <c r="BK138" s="170">
        <f t="shared" si="898"/>
        <v>6613.4612178688303</v>
      </c>
      <c r="BL138" s="59">
        <v>2729</v>
      </c>
      <c r="BM138" s="59">
        <f t="shared" si="899"/>
        <v>2478.0999649208102</v>
      </c>
      <c r="BN138" s="59">
        <f t="shared" si="900"/>
        <v>4135.3612529480297</v>
      </c>
      <c r="BO138" s="43">
        <f t="shared" si="706"/>
        <v>1.66876288748916</v>
      </c>
    </row>
    <row r="139" ht="17" customHeight="1">
      <c r="A139" s="46">
        <v>92</v>
      </c>
      <c r="B139" s="82" t="s">
        <v>182</v>
      </c>
      <c r="C139" s="46" t="s">
        <v>90</v>
      </c>
      <c r="D139" s="46">
        <v>2019</v>
      </c>
      <c r="E139" s="46" t="s">
        <v>91</v>
      </c>
      <c r="F139" s="46"/>
      <c r="G139" s="73" t="e">
        <f>VLOOKUP(B:B,#REF!,2,0)</f>
        <v>#REF!</v>
      </c>
      <c r="H139" s="73" t="e">
        <f t="shared" si="882"/>
        <v>#REF!</v>
      </c>
      <c r="I139" s="59" t="e">
        <f>VLOOKUP(B139,#REF!,4,0)</f>
        <v>#REF!</v>
      </c>
      <c r="J139" s="59" t="e">
        <f>VLOOKUP(B139,#REF!,2,0)</f>
        <v>#REF!</v>
      </c>
      <c r="K139" s="73" t="e">
        <f t="shared" si="883"/>
        <v>#REF!</v>
      </c>
      <c r="L139" s="73" t="e">
        <f t="shared" si="884"/>
        <v>#REF!</v>
      </c>
      <c r="M139" s="59">
        <v>11286</v>
      </c>
      <c r="N139" s="59">
        <v>2037</v>
      </c>
      <c r="O139" s="73">
        <v>63053</v>
      </c>
      <c r="P139" s="59">
        <f t="shared" si="871"/>
        <v>50442.400000000001</v>
      </c>
      <c r="Q139" s="59">
        <f t="shared" si="872"/>
        <v>0</v>
      </c>
      <c r="R139" s="59">
        <f t="shared" si="873"/>
        <v>0</v>
      </c>
      <c r="S139" s="59">
        <f t="shared" si="874"/>
        <v>0</v>
      </c>
      <c r="T139" s="59">
        <f t="shared" si="875"/>
        <v>50442.400000000001</v>
      </c>
      <c r="U139" s="59">
        <f t="shared" si="876"/>
        <v>0</v>
      </c>
      <c r="V139" s="59">
        <v>7716</v>
      </c>
      <c r="W139" s="59">
        <f t="shared" ref="W139:W145" si="903">V139*1</f>
        <v>7716</v>
      </c>
      <c r="X139" s="59">
        <v>1481</v>
      </c>
      <c r="Y139" s="59">
        <f t="shared" si="885"/>
        <v>0</v>
      </c>
      <c r="Z139" s="59"/>
      <c r="AA139" s="59"/>
      <c r="AB139" s="59"/>
      <c r="AC139" s="59">
        <v>2557</v>
      </c>
      <c r="AD139" s="59">
        <f t="shared" si="886"/>
        <v>4046.2149674151701</v>
      </c>
      <c r="AE139" s="59">
        <v>10601.57</v>
      </c>
      <c r="AF139" s="62">
        <f t="shared" si="887"/>
        <v>0.81603254467469899</v>
      </c>
      <c r="AG139" s="62">
        <f t="shared" si="888"/>
        <v>5.7749807154083701</v>
      </c>
      <c r="AH139" s="62">
        <f t="shared" ref="AH139:AH145" si="904">AG139*1</f>
        <v>5.7749807154083701</v>
      </c>
      <c r="AI139" s="59">
        <f t="shared" si="889"/>
        <v>1721.38884781005</v>
      </c>
      <c r="AJ139" s="59">
        <f t="shared" ref="AJ139:AJ145" si="905">P139</f>
        <v>50442.400000000001</v>
      </c>
      <c r="AK139" s="59">
        <f t="shared" ref="AK139:AK145" si="906">AJ139/$AJ$9*2859</f>
        <v>35.887013809556002</v>
      </c>
      <c r="AL139" s="59">
        <v>15802.719499999999</v>
      </c>
      <c r="AM139" s="59">
        <v>10</v>
      </c>
      <c r="AN139" s="62">
        <v>0.167782760951035</v>
      </c>
      <c r="AO139" s="59">
        <f t="shared" si="890"/>
        <v>1779.91564241628</v>
      </c>
      <c r="AP139" s="59"/>
      <c r="AQ139" s="59"/>
      <c r="AR139" s="59">
        <v>35151</v>
      </c>
      <c r="AS139" s="59">
        <f t="shared" si="891"/>
        <v>481.50141980660999</v>
      </c>
      <c r="AT139" s="189">
        <v>0.68999999999999995</v>
      </c>
      <c r="AU139" s="59">
        <f t="shared" si="892"/>
        <v>501.01000713031601</v>
      </c>
      <c r="AV139" s="59">
        <v>2</v>
      </c>
      <c r="AW139" s="59">
        <f t="shared" si="893"/>
        <v>2000</v>
      </c>
      <c r="AX139" s="59"/>
      <c r="AY139" s="62">
        <v>84.209999999999994</v>
      </c>
      <c r="AZ139" s="62" t="s">
        <v>442</v>
      </c>
      <c r="BA139" s="59">
        <v>800</v>
      </c>
      <c r="BB139" s="59" t="s">
        <v>443</v>
      </c>
      <c r="BC139" s="59"/>
      <c r="BD139" s="62">
        <v>20.8452320791334</v>
      </c>
      <c r="BE139" s="59">
        <f t="shared" si="894"/>
        <v>261.25630739846702</v>
      </c>
      <c r="BF139" s="62" t="e">
        <f>VLOOKUP(B139,'2022年项目库建设情况'!B:O,14,0)</f>
        <v>#N/A</v>
      </c>
      <c r="BG139" s="59" t="e">
        <f t="shared" si="895"/>
        <v>#N/A</v>
      </c>
      <c r="BH139" s="53" t="e">
        <f>ROUND(AI139+AD139+#REF!+#REF!+BE139+BG139,0)</f>
        <v>#REF!</v>
      </c>
      <c r="BI139" s="59" t="e">
        <f t="shared" si="896"/>
        <v>#REF!</v>
      </c>
      <c r="BJ139" s="167" t="e">
        <f t="shared" si="897"/>
        <v>#REF!</v>
      </c>
      <c r="BK139" s="170">
        <f t="shared" si="898"/>
        <v>11591.2871919769</v>
      </c>
      <c r="BL139" s="59">
        <v>11286</v>
      </c>
      <c r="BM139" s="59">
        <f t="shared" si="899"/>
        <v>10248.3826325014</v>
      </c>
      <c r="BN139" s="59">
        <f t="shared" si="900"/>
        <v>1342.90455947552</v>
      </c>
      <c r="BO139" s="43">
        <f t="shared" si="706"/>
        <v>0.13103575536072201</v>
      </c>
    </row>
    <row r="140" ht="17" customHeight="1">
      <c r="A140" s="46">
        <v>93</v>
      </c>
      <c r="B140" s="82" t="s">
        <v>183</v>
      </c>
      <c r="C140" s="46" t="s">
        <v>90</v>
      </c>
      <c r="D140" s="46">
        <v>2018</v>
      </c>
      <c r="E140" s="46" t="s">
        <v>91</v>
      </c>
      <c r="F140" s="46"/>
      <c r="G140" s="73" t="e">
        <f>VLOOKUP(B:B,#REF!,2,0)</f>
        <v>#REF!</v>
      </c>
      <c r="H140" s="73" t="e">
        <f t="shared" si="882"/>
        <v>#REF!</v>
      </c>
      <c r="I140" s="59" t="e">
        <f>VLOOKUP(B140,#REF!,4,0)</f>
        <v>#REF!</v>
      </c>
      <c r="J140" s="59" t="e">
        <f>VLOOKUP(B140,#REF!,2,0)</f>
        <v>#REF!</v>
      </c>
      <c r="K140" s="73" t="e">
        <f t="shared" si="883"/>
        <v>#REF!</v>
      </c>
      <c r="L140" s="73" t="e">
        <f t="shared" si="884"/>
        <v>#REF!</v>
      </c>
      <c r="M140" s="59">
        <v>10586</v>
      </c>
      <c r="N140" s="59">
        <v>2357</v>
      </c>
      <c r="O140" s="73">
        <v>53447</v>
      </c>
      <c r="P140" s="59">
        <f t="shared" si="871"/>
        <v>32068.200000000001</v>
      </c>
      <c r="Q140" s="59">
        <f t="shared" si="872"/>
        <v>0</v>
      </c>
      <c r="R140" s="59">
        <f t="shared" si="873"/>
        <v>0</v>
      </c>
      <c r="S140" s="59">
        <f t="shared" si="874"/>
        <v>32068.200000000001</v>
      </c>
      <c r="T140" s="59">
        <f t="shared" si="875"/>
        <v>0</v>
      </c>
      <c r="U140" s="59">
        <f t="shared" si="876"/>
        <v>0</v>
      </c>
      <c r="V140" s="59">
        <v>6456</v>
      </c>
      <c r="W140" s="59">
        <f t="shared" si="903"/>
        <v>6456</v>
      </c>
      <c r="X140" s="59">
        <v>1813</v>
      </c>
      <c r="Y140" s="59">
        <f t="shared" si="885"/>
        <v>0</v>
      </c>
      <c r="Z140" s="59"/>
      <c r="AA140" s="59"/>
      <c r="AB140" s="59"/>
      <c r="AC140" s="59">
        <v>1464</v>
      </c>
      <c r="AD140" s="59">
        <f t="shared" si="886"/>
        <v>3304.42283986847</v>
      </c>
      <c r="AE140" s="59">
        <v>11188.459999999999</v>
      </c>
      <c r="AF140" s="62">
        <f t="shared" si="887"/>
        <v>0.72132734766064999</v>
      </c>
      <c r="AG140" s="62">
        <f t="shared" si="888"/>
        <v>4.32096721069159</v>
      </c>
      <c r="AH140" s="62">
        <f t="shared" si="904"/>
        <v>4.32096721069159</v>
      </c>
      <c r="AI140" s="59">
        <f t="shared" si="889"/>
        <v>1287.9808842290499</v>
      </c>
      <c r="AJ140" s="59">
        <f t="shared" si="905"/>
        <v>32068.200000000001</v>
      </c>
      <c r="AK140" s="59">
        <f t="shared" si="906"/>
        <v>22.814773608067899</v>
      </c>
      <c r="AL140" s="59">
        <v>3070.0900000000001</v>
      </c>
      <c r="AM140" s="59">
        <v>30</v>
      </c>
      <c r="AN140" s="62">
        <v>0.79704278869981804</v>
      </c>
      <c r="AO140" s="59">
        <f t="shared" si="890"/>
        <v>345.79498893375899</v>
      </c>
      <c r="AP140" s="59">
        <v>3000</v>
      </c>
      <c r="AQ140" s="59"/>
      <c r="AR140" s="59">
        <v>30156</v>
      </c>
      <c r="AS140" s="59">
        <f t="shared" si="891"/>
        <v>413.07948040420303</v>
      </c>
      <c r="AT140" s="189">
        <v>0.54800000000000004</v>
      </c>
      <c r="AU140" s="59">
        <f t="shared" si="892"/>
        <v>397.903599865817</v>
      </c>
      <c r="AV140" s="59">
        <v>2</v>
      </c>
      <c r="AW140" s="59">
        <f t="shared" si="893"/>
        <v>2000</v>
      </c>
      <c r="AX140" s="59"/>
      <c r="AY140" s="62">
        <v>69.019999999999996</v>
      </c>
      <c r="AZ140" s="62" t="s">
        <v>440</v>
      </c>
      <c r="BA140" s="59"/>
      <c r="BB140" s="59" t="s">
        <v>443</v>
      </c>
      <c r="BC140" s="59"/>
      <c r="BD140" s="62">
        <v>31.859919670496701</v>
      </c>
      <c r="BE140" s="59">
        <f t="shared" si="894"/>
        <v>399.30497945656799</v>
      </c>
      <c r="BF140" s="62" t="e">
        <f>VLOOKUP(B140,'2022年项目库建设情况'!B:O,14,0)</f>
        <v>#N/A</v>
      </c>
      <c r="BG140" s="59" t="e">
        <f t="shared" si="895"/>
        <v>#N/A</v>
      </c>
      <c r="BH140" s="53" t="e">
        <f>ROUND(AI140+AD140+#REF!+#REF!+BE140+BG140,0)</f>
        <v>#REF!</v>
      </c>
      <c r="BI140" s="59" t="e">
        <f t="shared" si="896"/>
        <v>#REF!</v>
      </c>
      <c r="BJ140" s="167" t="e">
        <f t="shared" si="897"/>
        <v>#REF!</v>
      </c>
      <c r="BK140" s="170">
        <f t="shared" si="898"/>
        <v>11148.4867727579</v>
      </c>
      <c r="BL140" s="59">
        <v>10586</v>
      </c>
      <c r="BM140" s="59">
        <f t="shared" si="899"/>
        <v>9612.73954879138</v>
      </c>
      <c r="BN140" s="59">
        <f t="shared" si="900"/>
        <v>1535.7472239664801</v>
      </c>
      <c r="BO140" s="43">
        <f t="shared" ref="BO140:BO154" si="907">BN140/BM140</f>
        <v>0.15976165963630801</v>
      </c>
    </row>
    <row r="141" ht="17" customHeight="1">
      <c r="A141" s="46">
        <v>94</v>
      </c>
      <c r="B141" s="82" t="s">
        <v>184</v>
      </c>
      <c r="C141" s="46" t="s">
        <v>90</v>
      </c>
      <c r="D141" s="46">
        <v>2017</v>
      </c>
      <c r="E141" s="46" t="s">
        <v>91</v>
      </c>
      <c r="F141" s="46"/>
      <c r="G141" s="73" t="e">
        <f>VLOOKUP(B:B,#REF!,2,0)</f>
        <v>#REF!</v>
      </c>
      <c r="H141" s="73" t="e">
        <f t="shared" si="882"/>
        <v>#REF!</v>
      </c>
      <c r="I141" s="59" t="e">
        <f>VLOOKUP(B141,#REF!,4,0)</f>
        <v>#REF!</v>
      </c>
      <c r="J141" s="59" t="e">
        <f>VLOOKUP(B141,#REF!,2,0)</f>
        <v>#REF!</v>
      </c>
      <c r="K141" s="73" t="e">
        <f t="shared" si="883"/>
        <v>#REF!</v>
      </c>
      <c r="L141" s="73" t="e">
        <f t="shared" si="884"/>
        <v>#REF!</v>
      </c>
      <c r="M141" s="59">
        <v>4908</v>
      </c>
      <c r="N141" s="59">
        <v>562</v>
      </c>
      <c r="O141" s="73">
        <v>28858</v>
      </c>
      <c r="P141" s="59">
        <f t="shared" si="871"/>
        <v>11543.200000000001</v>
      </c>
      <c r="Q141" s="59">
        <f t="shared" si="872"/>
        <v>0</v>
      </c>
      <c r="R141" s="59">
        <f t="shared" si="873"/>
        <v>11543.200000000001</v>
      </c>
      <c r="S141" s="59">
        <f t="shared" si="874"/>
        <v>0</v>
      </c>
      <c r="T141" s="59">
        <f t="shared" si="875"/>
        <v>0</v>
      </c>
      <c r="U141" s="59">
        <f t="shared" si="876"/>
        <v>0</v>
      </c>
      <c r="V141" s="59">
        <v>2450</v>
      </c>
      <c r="W141" s="59">
        <f t="shared" si="903"/>
        <v>2450</v>
      </c>
      <c r="X141" s="59">
        <v>1314</v>
      </c>
      <c r="Y141" s="59">
        <f t="shared" si="885"/>
        <v>0</v>
      </c>
      <c r="Z141" s="59"/>
      <c r="AA141" s="59"/>
      <c r="AB141" s="59"/>
      <c r="AC141" s="59">
        <v>901</v>
      </c>
      <c r="AD141" s="59">
        <f t="shared" si="886"/>
        <v>1659.2433199827301</v>
      </c>
      <c r="AE141" s="59">
        <v>10232.51</v>
      </c>
      <c r="AF141" s="62">
        <f t="shared" si="887"/>
        <v>0.875586975675405</v>
      </c>
      <c r="AG141" s="62">
        <f t="shared" si="888"/>
        <v>2.7412877034445602</v>
      </c>
      <c r="AH141" s="62">
        <f t="shared" si="904"/>
        <v>2.7412877034445602</v>
      </c>
      <c r="AI141" s="59">
        <f t="shared" si="889"/>
        <v>817.11477732867195</v>
      </c>
      <c r="AJ141" s="59">
        <f t="shared" si="905"/>
        <v>11543.200000000001</v>
      </c>
      <c r="AK141" s="59">
        <f t="shared" si="906"/>
        <v>8.2123566247138697</v>
      </c>
      <c r="AL141" s="59">
        <v>16323.6</v>
      </c>
      <c r="AM141" s="59">
        <v>24</v>
      </c>
      <c r="AN141" s="62">
        <v>0.60083981721625301</v>
      </c>
      <c r="AO141" s="59">
        <f t="shared" si="890"/>
        <v>1838.58423738689</v>
      </c>
      <c r="AP141" s="59"/>
      <c r="AQ141" s="59"/>
      <c r="AR141" s="59">
        <v>15147</v>
      </c>
      <c r="AS141" s="59">
        <f t="shared" si="891"/>
        <v>207.48490813378601</v>
      </c>
      <c r="AT141" s="189">
        <v>0.33100000000000002</v>
      </c>
      <c r="AU141" s="59">
        <f t="shared" si="892"/>
        <v>240.33958313062999</v>
      </c>
      <c r="AV141" s="59">
        <v>2</v>
      </c>
      <c r="AW141" s="59">
        <f t="shared" si="893"/>
        <v>2000</v>
      </c>
      <c r="AX141" s="59"/>
      <c r="AY141" s="62">
        <v>66.459999999999994</v>
      </c>
      <c r="AZ141" s="62" t="s">
        <v>440</v>
      </c>
      <c r="BA141" s="59"/>
      <c r="BB141" s="59" t="s">
        <v>443</v>
      </c>
      <c r="BC141" s="59"/>
      <c r="BD141" s="62">
        <v>32.604649888909002</v>
      </c>
      <c r="BE141" s="59">
        <f t="shared" si="894"/>
        <v>408.63879095513198</v>
      </c>
      <c r="BF141" s="62" t="e">
        <f>VLOOKUP(B141,'2022年项目库建设情况'!B:O,14,0)</f>
        <v>#N/A</v>
      </c>
      <c r="BG141" s="59" t="e">
        <f t="shared" si="895"/>
        <v>#N/A</v>
      </c>
      <c r="BH141" s="53" t="e">
        <f>ROUND(AI141+AD141+#REF!+#REF!+BE141+BG141,0)</f>
        <v>#REF!</v>
      </c>
      <c r="BI141" s="59" t="e">
        <f t="shared" si="896"/>
        <v>#REF!</v>
      </c>
      <c r="BJ141" s="167" t="e">
        <f t="shared" si="897"/>
        <v>#REF!</v>
      </c>
      <c r="BK141" s="170">
        <f t="shared" si="898"/>
        <v>7171.4056169178302</v>
      </c>
      <c r="BL141" s="59">
        <v>4908</v>
      </c>
      <c r="BM141" s="59">
        <f t="shared" si="899"/>
        <v>4456.7660783552001</v>
      </c>
      <c r="BN141" s="59">
        <f t="shared" si="900"/>
        <v>2714.6395385626402</v>
      </c>
      <c r="BO141" s="43">
        <f t="shared" si="907"/>
        <v>0.60910523254666604</v>
      </c>
    </row>
    <row r="142" ht="17" customHeight="1">
      <c r="A142" s="46">
        <v>95</v>
      </c>
      <c r="B142" s="82" t="s">
        <v>185</v>
      </c>
      <c r="C142" s="46" t="s">
        <v>90</v>
      </c>
      <c r="D142" s="46">
        <v>2018</v>
      </c>
      <c r="E142" s="46" t="s">
        <v>91</v>
      </c>
      <c r="F142" s="46"/>
      <c r="G142" s="73" t="e">
        <f>VLOOKUP(B:B,#REF!,2,0)</f>
        <v>#REF!</v>
      </c>
      <c r="H142" s="73" t="e">
        <f t="shared" si="882"/>
        <v>#REF!</v>
      </c>
      <c r="I142" s="59" t="e">
        <f>VLOOKUP(B142,#REF!,4,0)</f>
        <v>#REF!</v>
      </c>
      <c r="J142" s="59" t="e">
        <f>VLOOKUP(B142,#REF!,2,0)</f>
        <v>#REF!</v>
      </c>
      <c r="K142" s="73" t="e">
        <f t="shared" si="883"/>
        <v>#REF!</v>
      </c>
      <c r="L142" s="73" t="e">
        <f t="shared" si="884"/>
        <v>#REF!</v>
      </c>
      <c r="M142" s="59">
        <v>4500</v>
      </c>
      <c r="N142" s="59">
        <v>1178</v>
      </c>
      <c r="O142" s="73">
        <v>20309</v>
      </c>
      <c r="P142" s="59">
        <f t="shared" si="871"/>
        <v>12185.4</v>
      </c>
      <c r="Q142" s="59">
        <f t="shared" si="872"/>
        <v>0</v>
      </c>
      <c r="R142" s="59">
        <f t="shared" si="873"/>
        <v>0</v>
      </c>
      <c r="S142" s="59">
        <f t="shared" si="874"/>
        <v>12185.4</v>
      </c>
      <c r="T142" s="59">
        <f t="shared" si="875"/>
        <v>0</v>
      </c>
      <c r="U142" s="59">
        <f t="shared" si="876"/>
        <v>0</v>
      </c>
      <c r="V142" s="59">
        <v>2522</v>
      </c>
      <c r="W142" s="59">
        <f t="shared" si="903"/>
        <v>2522</v>
      </c>
      <c r="X142" s="59">
        <v>1192</v>
      </c>
      <c r="Y142" s="59">
        <f t="shared" si="885"/>
        <v>0</v>
      </c>
      <c r="Z142" s="59"/>
      <c r="AA142" s="59"/>
      <c r="AB142" s="59"/>
      <c r="AC142" s="59">
        <v>325</v>
      </c>
      <c r="AD142" s="59">
        <f t="shared" si="886"/>
        <v>1263.7327678182901</v>
      </c>
      <c r="AE142" s="59">
        <v>11587.610000000001</v>
      </c>
      <c r="AF142" s="62">
        <f t="shared" si="887"/>
        <v>0.65691735705226095</v>
      </c>
      <c r="AG142" s="62">
        <f t="shared" si="888"/>
        <v>1.49980801788602</v>
      </c>
      <c r="AH142" s="62">
        <f t="shared" si="904"/>
        <v>1.49980801788602</v>
      </c>
      <c r="AI142" s="59">
        <f t="shared" si="889"/>
        <v>447.05825405730701</v>
      </c>
      <c r="AJ142" s="59">
        <f t="shared" si="905"/>
        <v>12185.4</v>
      </c>
      <c r="AK142" s="59">
        <f t="shared" si="906"/>
        <v>8.6692468652356691</v>
      </c>
      <c r="AL142" s="59">
        <v>7447.5</v>
      </c>
      <c r="AM142" s="59">
        <v>7</v>
      </c>
      <c r="AN142" s="62">
        <v>3.0393622321873402e-002</v>
      </c>
      <c r="AO142" s="59">
        <f t="shared" si="890"/>
        <v>838.83800803369604</v>
      </c>
      <c r="AP142" s="59"/>
      <c r="AQ142" s="59"/>
      <c r="AR142" s="59">
        <v>12034</v>
      </c>
      <c r="AS142" s="59">
        <f t="shared" si="891"/>
        <v>164.84276652023399</v>
      </c>
      <c r="AT142" s="189">
        <v>0.20599999999999999</v>
      </c>
      <c r="AU142" s="59">
        <f t="shared" si="892"/>
        <v>149.57690067948599</v>
      </c>
      <c r="AV142" s="59">
        <v>2</v>
      </c>
      <c r="AW142" s="59">
        <f t="shared" si="893"/>
        <v>2000</v>
      </c>
      <c r="AX142" s="59"/>
      <c r="AY142" s="62">
        <v>79.370000000000005</v>
      </c>
      <c r="AZ142" s="62" t="s">
        <v>440</v>
      </c>
      <c r="BA142" s="59"/>
      <c r="BB142" s="59" t="s">
        <v>441</v>
      </c>
      <c r="BC142" s="59">
        <v>1000</v>
      </c>
      <c r="BD142" s="62">
        <v>32.163465975586597</v>
      </c>
      <c r="BE142" s="59">
        <f t="shared" si="894"/>
        <v>403.10936918421299</v>
      </c>
      <c r="BF142" s="62" t="e">
        <f>VLOOKUP(B142,'2022年项目库建设情况'!B:O,14,0)</f>
        <v>#N/A</v>
      </c>
      <c r="BG142" s="59" t="e">
        <f t="shared" si="895"/>
        <v>#N/A</v>
      </c>
      <c r="BH142" s="53" t="e">
        <f>ROUND(AI142+AD142+#REF!+#REF!+BE142+BG142,0)</f>
        <v>#REF!</v>
      </c>
      <c r="BI142" s="59" t="e">
        <f t="shared" si="896"/>
        <v>#REF!</v>
      </c>
      <c r="BJ142" s="167" t="e">
        <f t="shared" si="897"/>
        <v>#REF!</v>
      </c>
      <c r="BK142" s="170">
        <f t="shared" si="898"/>
        <v>6267.1580662932201</v>
      </c>
      <c r="BL142" s="59">
        <v>4500</v>
      </c>
      <c r="BM142" s="59">
        <f t="shared" si="899"/>
        <v>4086.2769667070902</v>
      </c>
      <c r="BN142" s="59">
        <f t="shared" si="900"/>
        <v>2180.88109958614</v>
      </c>
      <c r="BO142" s="43">
        <f t="shared" si="907"/>
        <v>0.53370858543237498</v>
      </c>
    </row>
    <row r="143" ht="17" customHeight="1">
      <c r="A143" s="46">
        <v>96</v>
      </c>
      <c r="B143" s="82" t="s">
        <v>186</v>
      </c>
      <c r="C143" s="46" t="s">
        <v>90</v>
      </c>
      <c r="D143" s="46">
        <v>2019</v>
      </c>
      <c r="E143" s="46" t="s">
        <v>91</v>
      </c>
      <c r="F143" s="46"/>
      <c r="G143" s="73" t="e">
        <f>VLOOKUP(B:B,#REF!,2,0)</f>
        <v>#REF!</v>
      </c>
      <c r="H143" s="73" t="e">
        <f t="shared" si="882"/>
        <v>#REF!</v>
      </c>
      <c r="I143" s="59" t="e">
        <f>VLOOKUP(B143,#REF!,4,0)</f>
        <v>#REF!</v>
      </c>
      <c r="J143" s="59" t="e">
        <f>VLOOKUP(B143,#REF!,2,0)</f>
        <v>#REF!</v>
      </c>
      <c r="K143" s="73" t="e">
        <f t="shared" si="883"/>
        <v>#REF!</v>
      </c>
      <c r="L143" s="73" t="e">
        <f t="shared" si="884"/>
        <v>#REF!</v>
      </c>
      <c r="M143" s="59">
        <v>9304</v>
      </c>
      <c r="N143" s="59">
        <v>1825</v>
      </c>
      <c r="O143" s="73">
        <v>44723</v>
      </c>
      <c r="P143" s="59">
        <f t="shared" si="871"/>
        <v>35778.400000000001</v>
      </c>
      <c r="Q143" s="59">
        <f t="shared" si="872"/>
        <v>0</v>
      </c>
      <c r="R143" s="59">
        <f t="shared" si="873"/>
        <v>0</v>
      </c>
      <c r="S143" s="59">
        <f t="shared" si="874"/>
        <v>0</v>
      </c>
      <c r="T143" s="59">
        <f t="shared" si="875"/>
        <v>35778.400000000001</v>
      </c>
      <c r="U143" s="59">
        <f t="shared" si="876"/>
        <v>0</v>
      </c>
      <c r="V143" s="59">
        <v>6336</v>
      </c>
      <c r="W143" s="59">
        <f t="shared" si="903"/>
        <v>6336</v>
      </c>
      <c r="X143" s="59">
        <v>4637</v>
      </c>
      <c r="Y143" s="59">
        <f t="shared" si="885"/>
        <v>0</v>
      </c>
      <c r="Z143" s="59"/>
      <c r="AA143" s="59"/>
      <c r="AB143" s="59"/>
      <c r="AC143" s="59">
        <v>1979</v>
      </c>
      <c r="AD143" s="59">
        <f t="shared" si="886"/>
        <v>3422.98506549796</v>
      </c>
      <c r="AE143" s="59">
        <v>10597.82</v>
      </c>
      <c r="AF143" s="62">
        <f t="shared" si="887"/>
        <v>0.81663767423697198</v>
      </c>
      <c r="AG143" s="62">
        <f t="shared" si="888"/>
        <v>4.1696703008865601</v>
      </c>
      <c r="AH143" s="62">
        <f t="shared" si="904"/>
        <v>4.1696703008865601</v>
      </c>
      <c r="AI143" s="59">
        <f t="shared" si="889"/>
        <v>1242.88275731209</v>
      </c>
      <c r="AJ143" s="59">
        <f t="shared" si="905"/>
        <v>35778.400000000001</v>
      </c>
      <c r="AK143" s="59">
        <f t="shared" si="906"/>
        <v>25.454378357965101</v>
      </c>
      <c r="AL143" s="59">
        <v>12737.440000000001</v>
      </c>
      <c r="AM143" s="59">
        <v>16</v>
      </c>
      <c r="AN143" s="62">
        <v>0.66811779769526203</v>
      </c>
      <c r="AO143" s="59">
        <f t="shared" si="890"/>
        <v>1434.66247694511</v>
      </c>
      <c r="AP143" s="59"/>
      <c r="AQ143" s="59"/>
      <c r="AR143" s="59">
        <v>21951</v>
      </c>
      <c r="AS143" s="59">
        <f t="shared" si="891"/>
        <v>300.68668504949801</v>
      </c>
      <c r="AT143" s="189">
        <v>0.48599999999999999</v>
      </c>
      <c r="AU143" s="59">
        <f t="shared" si="892"/>
        <v>352.88530937004901</v>
      </c>
      <c r="AV143" s="59">
        <v>2</v>
      </c>
      <c r="AW143" s="59">
        <f t="shared" si="893"/>
        <v>2000</v>
      </c>
      <c r="AX143" s="59"/>
      <c r="AY143" s="62">
        <v>79.280000000000001</v>
      </c>
      <c r="AZ143" s="62" t="s">
        <v>440</v>
      </c>
      <c r="BA143" s="59"/>
      <c r="BB143" s="59" t="s">
        <v>441</v>
      </c>
      <c r="BC143" s="59">
        <v>1000</v>
      </c>
      <c r="BD143" s="62">
        <v>35.4822517540671</v>
      </c>
      <c r="BE143" s="59">
        <f t="shared" si="894"/>
        <v>444.70419116752402</v>
      </c>
      <c r="BF143" s="62" t="e">
        <f>VLOOKUP(B143,'2022年项目库建设情况'!B:O,14,0)</f>
        <v>#N/A</v>
      </c>
      <c r="BG143" s="59" t="e">
        <f t="shared" si="895"/>
        <v>#N/A</v>
      </c>
      <c r="BH143" s="53" t="e">
        <f>ROUND(AI143+AD143+#REF!+#REF!+BE143+BG143,0)</f>
        <v>#REF!</v>
      </c>
      <c r="BI143" s="59" t="e">
        <f t="shared" si="896"/>
        <v>#REF!</v>
      </c>
      <c r="BJ143" s="167" t="e">
        <f t="shared" si="897"/>
        <v>#REF!</v>
      </c>
      <c r="BK143" s="170">
        <f t="shared" si="898"/>
        <v>10198.8064853422</v>
      </c>
      <c r="BL143" s="59">
        <v>9304</v>
      </c>
      <c r="BM143" s="59">
        <f t="shared" si="899"/>
        <v>8448.6046440539394</v>
      </c>
      <c r="BN143" s="59">
        <f t="shared" si="900"/>
        <v>1750.2018412882901</v>
      </c>
      <c r="BO143" s="43">
        <f t="shared" si="907"/>
        <v>0.20715868655542599</v>
      </c>
    </row>
    <row r="144" s="54" customFormat="1" ht="17" customHeight="1">
      <c r="A144" s="46">
        <v>97</v>
      </c>
      <c r="B144" s="82" t="s">
        <v>187</v>
      </c>
      <c r="C144" s="46" t="s">
        <v>90</v>
      </c>
      <c r="D144" s="46">
        <v>2017</v>
      </c>
      <c r="E144" s="46" t="s">
        <v>91</v>
      </c>
      <c r="F144" s="46"/>
      <c r="G144" s="190" t="e">
        <f>VLOOKUP(B:B,#REF!,2,0)</f>
        <v>#REF!</v>
      </c>
      <c r="H144" s="190" t="e">
        <f t="shared" si="882"/>
        <v>#REF!</v>
      </c>
      <c r="I144" s="59" t="e">
        <f>VLOOKUP(B144,#REF!,4,0)</f>
        <v>#REF!</v>
      </c>
      <c r="J144" s="59" t="e">
        <f>VLOOKUP(B144,#REF!,2,0)</f>
        <v>#REF!</v>
      </c>
      <c r="K144" s="73" t="e">
        <f t="shared" si="883"/>
        <v>#REF!</v>
      </c>
      <c r="L144" s="73" t="e">
        <f t="shared" si="884"/>
        <v>#REF!</v>
      </c>
      <c r="M144" s="59">
        <v>3272</v>
      </c>
      <c r="N144" s="59">
        <v>353</v>
      </c>
      <c r="O144" s="190">
        <v>28268</v>
      </c>
      <c r="P144" s="172">
        <f t="shared" si="871"/>
        <v>11307.200000000001</v>
      </c>
      <c r="Q144" s="172">
        <f t="shared" si="872"/>
        <v>0</v>
      </c>
      <c r="R144" s="172">
        <f t="shared" si="873"/>
        <v>11307.200000000001</v>
      </c>
      <c r="S144" s="172">
        <f t="shared" si="874"/>
        <v>0</v>
      </c>
      <c r="T144" s="172">
        <f t="shared" si="875"/>
        <v>0</v>
      </c>
      <c r="U144" s="172">
        <f t="shared" si="876"/>
        <v>0</v>
      </c>
      <c r="V144" s="59">
        <v>1632</v>
      </c>
      <c r="W144" s="59">
        <f t="shared" si="903"/>
        <v>1632</v>
      </c>
      <c r="X144" s="59">
        <v>1475</v>
      </c>
      <c r="Y144" s="59">
        <f t="shared" si="885"/>
        <v>0</v>
      </c>
      <c r="Z144" s="59"/>
      <c r="AA144" s="172"/>
      <c r="AB144" s="172"/>
      <c r="AC144" s="59">
        <v>0</v>
      </c>
      <c r="AD144" s="59">
        <f t="shared" si="886"/>
        <v>1298.63406354316</v>
      </c>
      <c r="AE144" s="59">
        <v>12245.32</v>
      </c>
      <c r="AF144" s="62">
        <f t="shared" si="887"/>
        <v>0.55078408654482303</v>
      </c>
      <c r="AG144" s="62">
        <f t="shared" si="888"/>
        <v>1.6468444187690201</v>
      </c>
      <c r="AH144" s="62">
        <f t="shared" si="904"/>
        <v>1.6468444187690201</v>
      </c>
      <c r="AI144" s="59">
        <f t="shared" si="889"/>
        <v>490.88642131452599</v>
      </c>
      <c r="AJ144" s="172">
        <f t="shared" si="905"/>
        <v>11307.200000000001</v>
      </c>
      <c r="AK144" s="59">
        <f t="shared" si="906"/>
        <v>8.0444555086080705</v>
      </c>
      <c r="AL144" s="59">
        <v>6727.8000000000002</v>
      </c>
      <c r="AM144" s="59">
        <v>8</v>
      </c>
      <c r="AN144" s="62">
        <v>7.6844411979547098e-002</v>
      </c>
      <c r="AO144" s="59">
        <f t="shared" si="890"/>
        <v>757.77567646177897</v>
      </c>
      <c r="AP144" s="59"/>
      <c r="AQ144" s="59"/>
      <c r="AR144" s="59">
        <v>13646</v>
      </c>
      <c r="AS144" s="59">
        <f t="shared" si="891"/>
        <v>186.92408109814801</v>
      </c>
      <c r="AT144" s="189">
        <v>0.28199999999999997</v>
      </c>
      <c r="AU144" s="59">
        <f t="shared" si="892"/>
        <v>204.76061160978199</v>
      </c>
      <c r="AV144" s="59">
        <v>2</v>
      </c>
      <c r="AW144" s="59">
        <f t="shared" si="893"/>
        <v>2000</v>
      </c>
      <c r="AX144" s="59"/>
      <c r="AY144" s="62">
        <v>71.530000000000001</v>
      </c>
      <c r="AZ144" s="62" t="s">
        <v>440</v>
      </c>
      <c r="BA144" s="59"/>
      <c r="BB144" s="59" t="s">
        <v>441</v>
      </c>
      <c r="BC144" s="59">
        <v>1000</v>
      </c>
      <c r="BD144" s="62">
        <v>36.002001880180103</v>
      </c>
      <c r="BE144" s="59">
        <f t="shared" si="894"/>
        <v>451.21829464225101</v>
      </c>
      <c r="BF144" s="62" t="e">
        <f>VLOOKUP(B144,'2022年项目库建设情况'!B:O,14,0)</f>
        <v>#N/A</v>
      </c>
      <c r="BG144" s="59" t="e">
        <f t="shared" si="895"/>
        <v>#N/A</v>
      </c>
      <c r="BH144" s="53" t="e">
        <f>ROUND(AI144+AD144+#REF!+#REF!+BE144+BG144,0)</f>
        <v>#REF!</v>
      </c>
      <c r="BI144" s="59" t="e">
        <f t="shared" si="896"/>
        <v>#REF!</v>
      </c>
      <c r="BJ144" s="167" t="e">
        <f t="shared" si="897"/>
        <v>#REF!</v>
      </c>
      <c r="BK144" s="170">
        <f t="shared" si="898"/>
        <v>6390.1991486696397</v>
      </c>
      <c r="BL144" s="59">
        <v>3272</v>
      </c>
      <c r="BM144" s="59">
        <f t="shared" si="899"/>
        <v>2971.1773855701299</v>
      </c>
      <c r="BN144" s="59">
        <f t="shared" si="900"/>
        <v>3419.0217630995098</v>
      </c>
      <c r="BO144" s="43">
        <f t="shared" si="907"/>
        <v>1.1507295995534901</v>
      </c>
      <c r="BP144" s="4"/>
    </row>
    <row r="145" ht="17" customHeight="1">
      <c r="A145" s="46">
        <v>98</v>
      </c>
      <c r="B145" s="82" t="s">
        <v>188</v>
      </c>
      <c r="C145" s="46" t="s">
        <v>90</v>
      </c>
      <c r="D145" s="46">
        <v>2019</v>
      </c>
      <c r="E145" s="46" t="s">
        <v>91</v>
      </c>
      <c r="F145" s="46"/>
      <c r="G145" s="73" t="e">
        <f>VLOOKUP(B:B,#REF!,2,0)</f>
        <v>#REF!</v>
      </c>
      <c r="H145" s="73" t="e">
        <f t="shared" si="882"/>
        <v>#REF!</v>
      </c>
      <c r="I145" s="59" t="e">
        <f>VLOOKUP(B145,#REF!,4,0)</f>
        <v>#REF!</v>
      </c>
      <c r="J145" s="59" t="e">
        <f>VLOOKUP(B145,#REF!,2,0)</f>
        <v>#REF!</v>
      </c>
      <c r="K145" s="73" t="e">
        <f t="shared" si="883"/>
        <v>#REF!</v>
      </c>
      <c r="L145" s="73" t="e">
        <f t="shared" si="884"/>
        <v>#REF!</v>
      </c>
      <c r="M145" s="59">
        <v>8935</v>
      </c>
      <c r="N145" s="59">
        <v>1470</v>
      </c>
      <c r="O145" s="73">
        <v>28841</v>
      </c>
      <c r="P145" s="59">
        <f t="shared" si="871"/>
        <v>23072.799999999999</v>
      </c>
      <c r="Q145" s="59">
        <f t="shared" si="872"/>
        <v>0</v>
      </c>
      <c r="R145" s="59">
        <f t="shared" si="873"/>
        <v>0</v>
      </c>
      <c r="S145" s="59">
        <f t="shared" si="874"/>
        <v>0</v>
      </c>
      <c r="T145" s="59">
        <f t="shared" si="875"/>
        <v>23072.799999999999</v>
      </c>
      <c r="U145" s="59">
        <f t="shared" si="876"/>
        <v>0</v>
      </c>
      <c r="V145" s="59">
        <v>2702</v>
      </c>
      <c r="W145" s="59">
        <f t="shared" si="903"/>
        <v>2702</v>
      </c>
      <c r="X145" s="59">
        <v>1764</v>
      </c>
      <c r="Y145" s="59">
        <f t="shared" si="885"/>
        <v>0</v>
      </c>
      <c r="Z145" s="59"/>
      <c r="AA145" s="59"/>
      <c r="AB145" s="59"/>
      <c r="AC145" s="59">
        <v>1139</v>
      </c>
      <c r="AD145" s="59">
        <f t="shared" si="886"/>
        <v>1805.0933949575401</v>
      </c>
      <c r="AE145" s="59">
        <v>11691.16</v>
      </c>
      <c r="AF145" s="62">
        <f t="shared" si="887"/>
        <v>0.64020771273934896</v>
      </c>
      <c r="AG145" s="62">
        <f t="shared" si="888"/>
        <v>2.0194071882937301</v>
      </c>
      <c r="AH145" s="62">
        <f t="shared" si="904"/>
        <v>2.0194071882937301</v>
      </c>
      <c r="AI145" s="59">
        <f t="shared" si="889"/>
        <v>601.93880887625699</v>
      </c>
      <c r="AJ145" s="59">
        <f t="shared" si="905"/>
        <v>23072.799999999999</v>
      </c>
      <c r="AK145" s="59">
        <f t="shared" si="906"/>
        <v>16.415037591889401</v>
      </c>
      <c r="AL145" s="59">
        <v>11833</v>
      </c>
      <c r="AM145" s="59">
        <v>17</v>
      </c>
      <c r="AN145" s="62">
        <v>1</v>
      </c>
      <c r="AO145" s="59">
        <f t="shared" si="890"/>
        <v>1332.79223216687</v>
      </c>
      <c r="AP145" s="59"/>
      <c r="AQ145" s="59"/>
      <c r="AR145" s="59">
        <v>15796</v>
      </c>
      <c r="AS145" s="59">
        <f t="shared" si="891"/>
        <v>216.37496592601099</v>
      </c>
      <c r="AT145" s="189">
        <v>0.29499999999999998</v>
      </c>
      <c r="AU145" s="59">
        <f t="shared" si="892"/>
        <v>214.19993058470001</v>
      </c>
      <c r="AV145" s="59">
        <v>2</v>
      </c>
      <c r="AW145" s="59">
        <f t="shared" si="893"/>
        <v>2000</v>
      </c>
      <c r="AX145" s="59"/>
      <c r="AY145" s="62">
        <v>85.439999999999998</v>
      </c>
      <c r="AZ145" s="62" t="s">
        <v>442</v>
      </c>
      <c r="BA145" s="59">
        <v>800</v>
      </c>
      <c r="BB145" s="59" t="s">
        <v>441</v>
      </c>
      <c r="BC145" s="59">
        <v>1000</v>
      </c>
      <c r="BD145" s="62">
        <v>32.5846999755437</v>
      </c>
      <c r="BE145" s="59">
        <f t="shared" si="894"/>
        <v>408.38875580661698</v>
      </c>
      <c r="BF145" s="62" t="e">
        <f>VLOOKUP(B145,'2022年项目库建设情况'!B:O,14,0)</f>
        <v>#N/A</v>
      </c>
      <c r="BG145" s="59" t="e">
        <f t="shared" si="895"/>
        <v>#N/A</v>
      </c>
      <c r="BH145" s="53" t="e">
        <f>ROUND(AI145+AD145+#REF!+#REF!+BE145+BG145,0)</f>
        <v>#REF!</v>
      </c>
      <c r="BI145" s="59" t="e">
        <f t="shared" si="896"/>
        <v>#REF!</v>
      </c>
      <c r="BJ145" s="167" t="e">
        <f t="shared" si="897"/>
        <v>#REF!</v>
      </c>
      <c r="BK145" s="170">
        <f t="shared" si="898"/>
        <v>8378.7880883179896</v>
      </c>
      <c r="BL145" s="59">
        <v>8935</v>
      </c>
      <c r="BM145" s="59">
        <f t="shared" si="899"/>
        <v>8113.5299327839602</v>
      </c>
      <c r="BN145" s="59">
        <f t="shared" si="900"/>
        <v>265.25815553402998</v>
      </c>
      <c r="BO145" s="43">
        <f t="shared" si="907"/>
        <v>3.2693310769978702e-002</v>
      </c>
    </row>
    <row r="146" s="5" customFormat="1" ht="17" customHeight="1">
      <c r="A146" s="46">
        <v>99</v>
      </c>
      <c r="B146" s="82" t="s">
        <v>189</v>
      </c>
      <c r="C146" s="46" t="s">
        <v>90</v>
      </c>
      <c r="D146" s="46">
        <v>2017</v>
      </c>
      <c r="E146" s="46"/>
      <c r="F146" s="46"/>
      <c r="G146" s="73" t="e">
        <f>VLOOKUP(B:B,#REF!,2,0)</f>
        <v>#REF!</v>
      </c>
      <c r="H146" s="73" t="e">
        <f t="shared" si="882"/>
        <v>#REF!</v>
      </c>
      <c r="I146" s="59" t="e">
        <f>VLOOKUP(B146,#REF!,4,0)</f>
        <v>#REF!</v>
      </c>
      <c r="J146" s="59" t="e">
        <f>VLOOKUP(B146,#REF!,2,0)</f>
        <v>#REF!</v>
      </c>
      <c r="K146" s="73" t="e">
        <f t="shared" si="883"/>
        <v>#REF!</v>
      </c>
      <c r="L146" s="73" t="e">
        <f t="shared" si="884"/>
        <v>#REF!</v>
      </c>
      <c r="M146" s="59">
        <v>3351</v>
      </c>
      <c r="N146" s="59">
        <v>449</v>
      </c>
      <c r="O146" s="73">
        <v>29830</v>
      </c>
      <c r="P146" s="59">
        <f t="shared" si="871"/>
        <v>11932</v>
      </c>
      <c r="Q146" s="59">
        <f t="shared" si="872"/>
        <v>0</v>
      </c>
      <c r="R146" s="59">
        <f t="shared" si="873"/>
        <v>11932</v>
      </c>
      <c r="S146" s="59">
        <f t="shared" si="874"/>
        <v>0</v>
      </c>
      <c r="T146" s="59">
        <f t="shared" si="875"/>
        <v>0</v>
      </c>
      <c r="U146" s="59">
        <f t="shared" si="876"/>
        <v>0</v>
      </c>
      <c r="V146" s="59">
        <v>3121</v>
      </c>
      <c r="W146" s="59">
        <f>V146*0.5</f>
        <v>1560.5</v>
      </c>
      <c r="X146" s="59">
        <v>777</v>
      </c>
      <c r="Y146" s="59">
        <f t="shared" si="885"/>
        <v>0</v>
      </c>
      <c r="Z146" s="59"/>
      <c r="AA146" s="59"/>
      <c r="AB146" s="59"/>
      <c r="AC146" s="59">
        <v>560</v>
      </c>
      <c r="AD146" s="59">
        <f t="shared" si="886"/>
        <v>1395.6769498221399</v>
      </c>
      <c r="AE146" s="59">
        <v>12582.370000000001</v>
      </c>
      <c r="AF146" s="62">
        <f t="shared" si="887"/>
        <v>0.49639504148768299</v>
      </c>
      <c r="AG146" s="62">
        <f t="shared" si="888"/>
        <v>1.63567130120606</v>
      </c>
      <c r="AH146" s="62">
        <f>AG146*0.5</f>
        <v>0.81783565060303198</v>
      </c>
      <c r="AI146" s="59">
        <f t="shared" si="889"/>
        <v>243.777986051678</v>
      </c>
      <c r="AJ146" s="59"/>
      <c r="AK146" s="59"/>
      <c r="AL146" s="59">
        <v>14209.85</v>
      </c>
      <c r="AM146" s="59">
        <v>43</v>
      </c>
      <c r="AN146" s="62">
        <v>0.60310450956777695</v>
      </c>
      <c r="AO146" s="59">
        <f t="shared" si="890"/>
        <v>1600.5051719983401</v>
      </c>
      <c r="AP146" s="59"/>
      <c r="AQ146" s="59"/>
      <c r="AR146" s="59">
        <v>15700</v>
      </c>
      <c r="AS146" s="59">
        <f t="shared" si="891"/>
        <v>215.05994967323201</v>
      </c>
      <c r="AT146" s="189">
        <v>0.316</v>
      </c>
      <c r="AU146" s="59">
        <f t="shared" si="892"/>
        <v>229.448061236493</v>
      </c>
      <c r="AV146" s="59">
        <v>1</v>
      </c>
      <c r="AW146" s="59">
        <f t="shared" si="893"/>
        <v>1000</v>
      </c>
      <c r="AX146" s="59"/>
      <c r="AY146" s="62">
        <v>81.469999999999999</v>
      </c>
      <c r="AZ146" s="62" t="s">
        <v>442</v>
      </c>
      <c r="BA146" s="59">
        <v>500</v>
      </c>
      <c r="BB146" s="59" t="s">
        <v>441</v>
      </c>
      <c r="BC146" s="59">
        <v>800</v>
      </c>
      <c r="BD146" s="62">
        <v>35.675313919248097</v>
      </c>
      <c r="BE146" s="59">
        <f t="shared" si="894"/>
        <v>447.12386719617501</v>
      </c>
      <c r="BF146" s="62" t="e">
        <f>VLOOKUP(B146,'2022年项目库建设情况'!B:O,14,0)</f>
        <v>#N/A</v>
      </c>
      <c r="BG146" s="59" t="e">
        <f t="shared" si="895"/>
        <v>#N/A</v>
      </c>
      <c r="BH146" s="53" t="e">
        <f>ROUND(AI146+AD146+#REF!+#REF!+BE146+BG146,0)</f>
        <v>#REF!</v>
      </c>
      <c r="BI146" s="59" t="e">
        <f t="shared" si="896"/>
        <v>#REF!</v>
      </c>
      <c r="BJ146" s="182" t="e">
        <f t="shared" si="897"/>
        <v>#REF!</v>
      </c>
      <c r="BK146" s="170">
        <f t="shared" si="898"/>
        <v>6431.5919859780497</v>
      </c>
      <c r="BL146" s="59">
        <v>3351</v>
      </c>
      <c r="BM146" s="59">
        <f t="shared" si="899"/>
        <v>3042.9142478745398</v>
      </c>
      <c r="BN146" s="59">
        <f t="shared" si="900"/>
        <v>3388.6777381035099</v>
      </c>
      <c r="BO146" s="43">
        <f t="shared" si="907"/>
        <v>1.1136290615059199</v>
      </c>
      <c r="BP146" s="4"/>
    </row>
    <row r="147" s="64" customFormat="1" ht="17" customHeight="1">
      <c r="A147" s="65"/>
      <c r="B147" s="66" t="s">
        <v>190</v>
      </c>
      <c r="C147" s="67">
        <v>1</v>
      </c>
      <c r="D147" s="67"/>
      <c r="E147" s="67"/>
      <c r="F147" s="68"/>
      <c r="G147" s="69" t="e">
        <f t="shared" ref="G147:M147" si="908">G148+G149</f>
        <v>#REF!</v>
      </c>
      <c r="H147" s="69" t="e">
        <f t="shared" si="908"/>
        <v>#REF!</v>
      </c>
      <c r="I147" s="69" t="e">
        <f t="shared" si="908"/>
        <v>#REF!</v>
      </c>
      <c r="J147" s="69" t="e">
        <f t="shared" si="908"/>
        <v>#REF!</v>
      </c>
      <c r="K147" s="69" t="e">
        <f t="shared" si="908"/>
        <v>#REF!</v>
      </c>
      <c r="L147" s="69" t="e">
        <f t="shared" si="908"/>
        <v>#REF!</v>
      </c>
      <c r="M147" s="69">
        <f t="shared" si="908"/>
        <v>47629</v>
      </c>
      <c r="N147" s="69">
        <v>8381</v>
      </c>
      <c r="O147" s="69">
        <f t="shared" ref="O147:AD147" si="909">O148+O149</f>
        <v>351335</v>
      </c>
      <c r="P147" s="69">
        <f t="shared" si="909"/>
        <v>225822.39999999999</v>
      </c>
      <c r="Q147" s="69">
        <f t="shared" si="909"/>
        <v>9329.7999999999993</v>
      </c>
      <c r="R147" s="69">
        <f t="shared" si="909"/>
        <v>0</v>
      </c>
      <c r="S147" s="69">
        <f t="shared" si="909"/>
        <v>81768.600000000006</v>
      </c>
      <c r="T147" s="69">
        <f t="shared" si="909"/>
        <v>134724</v>
      </c>
      <c r="U147" s="69">
        <f t="shared" si="909"/>
        <v>0</v>
      </c>
      <c r="V147" s="69">
        <f t="shared" si="909"/>
        <v>59014</v>
      </c>
      <c r="W147" s="69">
        <f t="shared" si="909"/>
        <v>31313.700000000001</v>
      </c>
      <c r="X147" s="69">
        <f t="shared" si="909"/>
        <v>72169</v>
      </c>
      <c r="Y147" s="69">
        <f t="shared" si="909"/>
        <v>3956</v>
      </c>
      <c r="Z147" s="69">
        <f t="shared" si="909"/>
        <v>3956</v>
      </c>
      <c r="AA147" s="69">
        <f t="shared" si="909"/>
        <v>0</v>
      </c>
      <c r="AB147" s="69">
        <f t="shared" si="909"/>
        <v>0</v>
      </c>
      <c r="AC147" s="69">
        <f t="shared" si="909"/>
        <v>9488</v>
      </c>
      <c r="AD147" s="69">
        <f t="shared" si="909"/>
        <v>25754.509975455701</v>
      </c>
      <c r="AE147" s="69"/>
      <c r="AF147" s="69">
        <f t="shared" ref="AF147:AL147" si="910">AF148+AF149</f>
        <v>2.6114116139693002</v>
      </c>
      <c r="AG147" s="69">
        <f t="shared" si="910"/>
        <v>22.136207123262501</v>
      </c>
      <c r="AH147" s="69">
        <f t="shared" si="910"/>
        <v>13.2730137990518</v>
      </c>
      <c r="AI147" s="69">
        <f t="shared" si="910"/>
        <v>3956.3799528464701</v>
      </c>
      <c r="AJ147" s="69">
        <f t="shared" si="910"/>
        <v>65484</v>
      </c>
      <c r="AK147" s="69">
        <f t="shared" si="910"/>
        <v>46.588291046916197</v>
      </c>
      <c r="AL147" s="69">
        <f t="shared" si="910"/>
        <v>36442.120000000003</v>
      </c>
      <c r="AM147" s="69">
        <v>149</v>
      </c>
      <c r="AN147" s="71">
        <v>2.2944220469844101</v>
      </c>
      <c r="AO147" s="69">
        <f t="shared" ref="AO147:BA147" si="911">AO148+AO149</f>
        <v>4104.6036051460096</v>
      </c>
      <c r="AP147" s="69">
        <f t="shared" si="911"/>
        <v>0</v>
      </c>
      <c r="AQ147" s="69"/>
      <c r="AR147" s="69">
        <f t="shared" si="911"/>
        <v>154410</v>
      </c>
      <c r="AS147" s="69">
        <f t="shared" si="911"/>
        <v>2115.1214540792198</v>
      </c>
      <c r="AT147" s="69">
        <f t="shared" si="911"/>
        <v>3.5899999999999999</v>
      </c>
      <c r="AU147" s="69">
        <f t="shared" si="911"/>
        <v>2606.70423999686</v>
      </c>
      <c r="AV147" s="69">
        <f t="shared" si="911"/>
        <v>4</v>
      </c>
      <c r="AW147" s="69">
        <f t="shared" si="911"/>
        <v>4000</v>
      </c>
      <c r="AX147" s="69">
        <f t="shared" si="911"/>
        <v>0</v>
      </c>
      <c r="AY147" s="69">
        <f t="shared" si="911"/>
        <v>372.31</v>
      </c>
      <c r="AZ147" s="69">
        <f t="shared" si="911"/>
        <v>0</v>
      </c>
      <c r="BA147" s="69">
        <f t="shared" si="911"/>
        <v>500</v>
      </c>
      <c r="BB147" s="69"/>
      <c r="BC147" s="69">
        <f t="shared" ref="BC147:BK147" si="912">BC148+BC149</f>
        <v>4200</v>
      </c>
      <c r="BD147" s="71">
        <f t="shared" si="912"/>
        <v>128.137410851997</v>
      </c>
      <c r="BE147" s="69">
        <f t="shared" si="912"/>
        <v>1605.96469598935</v>
      </c>
      <c r="BF147" s="71" t="e">
        <f t="shared" si="912"/>
        <v>#N/A</v>
      </c>
      <c r="BG147" s="69" t="e">
        <f t="shared" si="912"/>
        <v>#N/A</v>
      </c>
      <c r="BH147" s="70" t="e">
        <f t="shared" si="912"/>
        <v>#REF!</v>
      </c>
      <c r="BI147" s="70" t="e">
        <f t="shared" si="912"/>
        <v>#REF!</v>
      </c>
      <c r="BJ147" s="183" t="e">
        <f t="shared" si="912"/>
        <v>#REF!</v>
      </c>
      <c r="BK147" s="184">
        <f t="shared" si="912"/>
        <v>48843.283923513598</v>
      </c>
      <c r="BL147" s="69">
        <v>47629</v>
      </c>
      <c r="BM147" s="184">
        <f>BM148+BM149</f>
        <v>43250.063477176001</v>
      </c>
      <c r="BN147" s="184">
        <f>BN148+BN149</f>
        <v>5593.2204463376702</v>
      </c>
      <c r="BO147" s="43">
        <f t="shared" si="907"/>
        <v>0.12932282629572001</v>
      </c>
      <c r="BP147" s="185"/>
    </row>
    <row r="148" s="5" customFormat="1" ht="17" customHeight="1">
      <c r="A148" s="44"/>
      <c r="B148" s="72" t="s">
        <v>191</v>
      </c>
      <c r="C148" s="46">
        <v>2</v>
      </c>
      <c r="D148" s="46"/>
      <c r="E148" s="46"/>
      <c r="F148" s="46"/>
      <c r="G148" s="73"/>
      <c r="H148" s="73"/>
      <c r="I148" s="73"/>
      <c r="J148" s="73"/>
      <c r="K148" s="73"/>
      <c r="L148" s="73"/>
      <c r="M148" s="73"/>
      <c r="N148" s="73"/>
      <c r="O148" s="73"/>
      <c r="P148" s="59">
        <f t="shared" ref="P148:P154" si="913">SUM(Q148:U148)</f>
        <v>0</v>
      </c>
      <c r="Q148" s="59">
        <f t="shared" ref="Q148:Q154" si="914">IF(D148="",O148*0.2,0)</f>
        <v>0</v>
      </c>
      <c r="R148" s="59">
        <f t="shared" ref="R148:R154" si="915">IF(D148=2017,O148*0.4,0)</f>
        <v>0</v>
      </c>
      <c r="S148" s="59">
        <f t="shared" ref="S148:S154" si="916">IF(D148=2018,O148*0.6,0)</f>
        <v>0</v>
      </c>
      <c r="T148" s="59">
        <f t="shared" ref="T148:T154" si="917">IF(D148=2019,O148*0.8,0)</f>
        <v>0</v>
      </c>
      <c r="U148" s="59">
        <f t="shared" ref="U148:U154" si="918">IF(D148=2020,O148*1,0)</f>
        <v>0</v>
      </c>
      <c r="V148" s="59"/>
      <c r="W148" s="59"/>
      <c r="X148" s="59"/>
      <c r="Y148" s="59">
        <f>T148*0.4+U148*0.6+V148*0.8+X148*1</f>
        <v>0</v>
      </c>
      <c r="Z148" s="59"/>
      <c r="AA148" s="59"/>
      <c r="AB148" s="59"/>
      <c r="AC148" s="59"/>
      <c r="AD148" s="59"/>
      <c r="AE148" s="59"/>
      <c r="AF148" s="62"/>
      <c r="AG148" s="62"/>
      <c r="AH148" s="62"/>
      <c r="AI148" s="59"/>
      <c r="AJ148" s="59"/>
      <c r="AK148" s="59"/>
      <c r="AL148" s="59"/>
      <c r="AM148" s="59"/>
      <c r="AN148" s="62"/>
      <c r="AO148" s="59"/>
      <c r="AP148" s="59"/>
      <c r="AQ148" s="59"/>
      <c r="AR148" s="59"/>
      <c r="AS148" s="59"/>
      <c r="AT148" s="59"/>
      <c r="AU148" s="59"/>
      <c r="AV148" s="59"/>
      <c r="AW148" s="59"/>
      <c r="AX148" s="59"/>
      <c r="AY148" s="62"/>
      <c r="AZ148" s="62"/>
      <c r="BA148" s="59"/>
      <c r="BB148" s="59"/>
      <c r="BC148" s="59"/>
      <c r="BD148" s="62"/>
      <c r="BE148" s="59"/>
      <c r="BF148" s="62"/>
      <c r="BG148" s="59"/>
      <c r="BH148" s="53"/>
      <c r="BI148" s="59"/>
      <c r="BJ148" s="182"/>
      <c r="BK148" s="170"/>
      <c r="BL148" s="73"/>
      <c r="BM148" s="170"/>
      <c r="BN148" s="50"/>
      <c r="BO148" s="43"/>
      <c r="BP148" s="4"/>
    </row>
    <row r="149" s="74" customFormat="1" ht="17" customHeight="1">
      <c r="A149" s="75"/>
      <c r="B149" s="76" t="s">
        <v>76</v>
      </c>
      <c r="C149" s="77">
        <v>3</v>
      </c>
      <c r="D149" s="77"/>
      <c r="E149" s="77"/>
      <c r="F149" s="78"/>
      <c r="G149" s="79" t="e">
        <f t="shared" ref="G149:M149" si="919">SUM(G150:G154)</f>
        <v>#REF!</v>
      </c>
      <c r="H149" s="79" t="e">
        <f t="shared" si="919"/>
        <v>#REF!</v>
      </c>
      <c r="I149" s="79" t="e">
        <f t="shared" si="919"/>
        <v>#REF!</v>
      </c>
      <c r="J149" s="79" t="e">
        <f t="shared" si="919"/>
        <v>#REF!</v>
      </c>
      <c r="K149" s="79" t="e">
        <f t="shared" si="919"/>
        <v>#REF!</v>
      </c>
      <c r="L149" s="79" t="e">
        <f t="shared" si="919"/>
        <v>#REF!</v>
      </c>
      <c r="M149" s="79">
        <f t="shared" si="919"/>
        <v>47629</v>
      </c>
      <c r="N149" s="79">
        <v>8381</v>
      </c>
      <c r="O149" s="79">
        <f t="shared" ref="O149:AD149" si="920">SUM(O150:O154)</f>
        <v>351335</v>
      </c>
      <c r="P149" s="79">
        <f t="shared" si="920"/>
        <v>225822.39999999999</v>
      </c>
      <c r="Q149" s="79">
        <f t="shared" si="920"/>
        <v>9329.7999999999993</v>
      </c>
      <c r="R149" s="79">
        <f t="shared" si="920"/>
        <v>0</v>
      </c>
      <c r="S149" s="79">
        <f t="shared" si="920"/>
        <v>81768.600000000006</v>
      </c>
      <c r="T149" s="79">
        <f t="shared" si="920"/>
        <v>134724</v>
      </c>
      <c r="U149" s="79">
        <f t="shared" si="920"/>
        <v>0</v>
      </c>
      <c r="V149" s="79">
        <f t="shared" si="920"/>
        <v>59014</v>
      </c>
      <c r="W149" s="79">
        <f t="shared" si="920"/>
        <v>31313.700000000001</v>
      </c>
      <c r="X149" s="79">
        <f t="shared" si="920"/>
        <v>72169</v>
      </c>
      <c r="Y149" s="79">
        <f t="shared" si="920"/>
        <v>3956</v>
      </c>
      <c r="Z149" s="79">
        <f t="shared" si="920"/>
        <v>3956</v>
      </c>
      <c r="AA149" s="79">
        <f t="shared" si="920"/>
        <v>0</v>
      </c>
      <c r="AB149" s="79">
        <f t="shared" si="920"/>
        <v>0</v>
      </c>
      <c r="AC149" s="79">
        <f t="shared" si="920"/>
        <v>9488</v>
      </c>
      <c r="AD149" s="79">
        <f t="shared" si="920"/>
        <v>25754.509975455701</v>
      </c>
      <c r="AE149" s="79"/>
      <c r="AF149" s="79">
        <f t="shared" ref="AF149:AL149" si="921">SUM(AF150:AF154)</f>
        <v>2.6114116139693002</v>
      </c>
      <c r="AG149" s="79">
        <f t="shared" si="921"/>
        <v>22.136207123262501</v>
      </c>
      <c r="AH149" s="79">
        <f t="shared" si="921"/>
        <v>13.2730137990518</v>
      </c>
      <c r="AI149" s="79">
        <f t="shared" si="921"/>
        <v>3956.3799528464701</v>
      </c>
      <c r="AJ149" s="79">
        <f t="shared" si="921"/>
        <v>65484</v>
      </c>
      <c r="AK149" s="79">
        <f t="shared" si="921"/>
        <v>46.588291046916197</v>
      </c>
      <c r="AL149" s="79">
        <f t="shared" si="921"/>
        <v>36442.120000000003</v>
      </c>
      <c r="AM149" s="79">
        <v>149</v>
      </c>
      <c r="AN149" s="81">
        <v>2.2944220469844101</v>
      </c>
      <c r="AO149" s="79">
        <f t="shared" ref="AO149:BA149" si="922">SUM(AO150:AO154)</f>
        <v>4104.6036051460096</v>
      </c>
      <c r="AP149" s="79">
        <f t="shared" si="922"/>
        <v>0</v>
      </c>
      <c r="AQ149" s="79"/>
      <c r="AR149" s="79">
        <f t="shared" si="922"/>
        <v>154410</v>
      </c>
      <c r="AS149" s="79">
        <f t="shared" si="922"/>
        <v>2115.1214540792198</v>
      </c>
      <c r="AT149" s="79">
        <f t="shared" si="922"/>
        <v>3.5899999999999999</v>
      </c>
      <c r="AU149" s="79">
        <f t="shared" si="922"/>
        <v>2606.70423999686</v>
      </c>
      <c r="AV149" s="79">
        <f t="shared" si="922"/>
        <v>4</v>
      </c>
      <c r="AW149" s="79">
        <f t="shared" si="922"/>
        <v>4000</v>
      </c>
      <c r="AX149" s="79">
        <f t="shared" si="922"/>
        <v>0</v>
      </c>
      <c r="AY149" s="79">
        <f t="shared" si="922"/>
        <v>372.31</v>
      </c>
      <c r="AZ149" s="79">
        <f t="shared" si="922"/>
        <v>0</v>
      </c>
      <c r="BA149" s="79">
        <f t="shared" si="922"/>
        <v>500</v>
      </c>
      <c r="BB149" s="79"/>
      <c r="BC149" s="79">
        <f t="shared" ref="BC149:BK149" si="923">SUM(BC150:BC154)</f>
        <v>4200</v>
      </c>
      <c r="BD149" s="81">
        <f t="shared" si="923"/>
        <v>128.137410851997</v>
      </c>
      <c r="BE149" s="79">
        <f t="shared" si="923"/>
        <v>1605.96469598935</v>
      </c>
      <c r="BF149" s="81" t="e">
        <f t="shared" si="923"/>
        <v>#N/A</v>
      </c>
      <c r="BG149" s="79" t="e">
        <f t="shared" si="923"/>
        <v>#N/A</v>
      </c>
      <c r="BH149" s="80" t="e">
        <f t="shared" si="923"/>
        <v>#REF!</v>
      </c>
      <c r="BI149" s="80" t="e">
        <f t="shared" si="923"/>
        <v>#REF!</v>
      </c>
      <c r="BJ149" s="186" t="e">
        <f t="shared" si="923"/>
        <v>#REF!</v>
      </c>
      <c r="BK149" s="187">
        <f t="shared" si="923"/>
        <v>48843.283923513598</v>
      </c>
      <c r="BL149" s="79">
        <v>47629</v>
      </c>
      <c r="BM149" s="187">
        <f>SUM(BM150:BM154)</f>
        <v>43250.063477176001</v>
      </c>
      <c r="BN149" s="187">
        <f>SUM(BN150:BN154)</f>
        <v>5593.2204463376702</v>
      </c>
      <c r="BO149" s="43">
        <f t="shared" si="907"/>
        <v>0.12932282629572001</v>
      </c>
      <c r="BP149" s="188"/>
    </row>
    <row r="150" ht="17" customHeight="1">
      <c r="A150" s="46">
        <v>100</v>
      </c>
      <c r="B150" s="82" t="s">
        <v>192</v>
      </c>
      <c r="C150" s="46" t="s">
        <v>90</v>
      </c>
      <c r="D150" s="46">
        <v>2019</v>
      </c>
      <c r="E150" s="46"/>
      <c r="F150" s="46"/>
      <c r="G150" s="73" t="e">
        <f>VLOOKUP(B:B,#REF!,2,0)</f>
        <v>#REF!</v>
      </c>
      <c r="H150" s="73" t="e">
        <f t="shared" ref="H150:H154" si="924">G150*299423/381298.76</f>
        <v>#REF!</v>
      </c>
      <c r="I150" s="59" t="e">
        <f>VLOOKUP(B150,#REF!,4,0)</f>
        <v>#REF!</v>
      </c>
      <c r="J150" s="59" t="e">
        <f>VLOOKUP(B150,#REF!,2,0)</f>
        <v>#REF!</v>
      </c>
      <c r="K150" s="73" t="e">
        <f t="shared" ref="K150:K154" si="925">I150*1485211/1408452</f>
        <v>#REF!</v>
      </c>
      <c r="L150" s="73" t="e">
        <f t="shared" ref="L150:L154" si="926">J150*1485211/1408452</f>
        <v>#REF!</v>
      </c>
      <c r="M150" s="59">
        <v>10180</v>
      </c>
      <c r="N150" s="59">
        <v>2349</v>
      </c>
      <c r="O150" s="73">
        <v>86550</v>
      </c>
      <c r="P150" s="59">
        <f t="shared" si="913"/>
        <v>69240</v>
      </c>
      <c r="Q150" s="59">
        <f t="shared" si="914"/>
        <v>0</v>
      </c>
      <c r="R150" s="59">
        <f t="shared" si="915"/>
        <v>0</v>
      </c>
      <c r="S150" s="59">
        <f t="shared" si="916"/>
        <v>0</v>
      </c>
      <c r="T150" s="59">
        <f t="shared" si="917"/>
        <v>69240</v>
      </c>
      <c r="U150" s="59">
        <f t="shared" si="918"/>
        <v>0</v>
      </c>
      <c r="V150" s="59">
        <v>18597</v>
      </c>
      <c r="W150" s="59">
        <f t="shared" ref="W150:W154" si="927">V150*0.5</f>
        <v>9298.5</v>
      </c>
      <c r="X150" s="59">
        <v>18864</v>
      </c>
      <c r="Y150" s="59">
        <f t="shared" ref="Y150:Y154" si="928">Z150+AA150+AB150*1.2</f>
        <v>0</v>
      </c>
      <c r="Z150" s="59"/>
      <c r="AA150" s="59"/>
      <c r="AB150" s="59"/>
      <c r="AC150" s="59">
        <v>1694</v>
      </c>
      <c r="AD150" s="59">
        <f t="shared" ref="AD150:AD154" si="929">O150/$O$9*202299+W150/$W$9*134866+AC150/$AC$9*34867+X150/$X$9*100000</f>
        <v>6583.9617779918699</v>
      </c>
      <c r="AE150" s="59">
        <v>11842.049999999999</v>
      </c>
      <c r="AF150" s="62">
        <f t="shared" ref="AF150:AF154" si="930">($AE$64-AE150)/($AE$64-$AE$44)</f>
        <v>0.61585891283229699</v>
      </c>
      <c r="AG150" s="62">
        <f t="shared" ref="AG150:AG154" si="931">(O150+V150)*AF150/10000</f>
        <v>6.47557171075775</v>
      </c>
      <c r="AH150" s="62">
        <f t="shared" ref="AH150:AH154" si="932">AG150*0.5</f>
        <v>3.2377858553788799</v>
      </c>
      <c r="AI150" s="59">
        <f t="shared" ref="AI150:AI154" si="933">AH150/$AH$9*1348663*0.1</f>
        <v>965.10945017972995</v>
      </c>
      <c r="AJ150" s="59"/>
      <c r="AK150" s="59"/>
      <c r="AL150" s="59">
        <v>4215.2299999999996</v>
      </c>
      <c r="AM150" s="59">
        <v>22</v>
      </c>
      <c r="AN150" s="62">
        <v>0.47147776613265502</v>
      </c>
      <c r="AO150" s="59">
        <f t="shared" ref="AO150:AO154" si="934">(AL150/$AL$9*80000)</f>
        <v>474.77611770444798</v>
      </c>
      <c r="AP150" s="59"/>
      <c r="AQ150" s="59"/>
      <c r="AR150" s="59">
        <v>43538</v>
      </c>
      <c r="AS150" s="59">
        <f t="shared" ref="AS150:AS154" si="935">AR150/$AR$9*50000</f>
        <v>596.38726680720902</v>
      </c>
      <c r="AT150" s="189">
        <v>0.80000000000000004</v>
      </c>
      <c r="AU150" s="59">
        <f t="shared" ref="AU150:AU154" si="936">AT150/$AT$9*50000</f>
        <v>580.881167687323</v>
      </c>
      <c r="AV150" s="59">
        <v>1</v>
      </c>
      <c r="AW150" s="59">
        <f t="shared" ref="AW150:AW153" si="937">AV150*1000</f>
        <v>1000</v>
      </c>
      <c r="AX150" s="59"/>
      <c r="AY150" s="62">
        <v>67.629999999999995</v>
      </c>
      <c r="AZ150" s="62" t="s">
        <v>440</v>
      </c>
      <c r="BA150" s="59"/>
      <c r="BB150" s="59" t="s">
        <v>441</v>
      </c>
      <c r="BC150" s="59">
        <v>800</v>
      </c>
      <c r="BD150" s="62">
        <v>20.368705917272901</v>
      </c>
      <c r="BE150" s="59">
        <f t="shared" ref="BE150:BE154" si="938">BD150/$BD$9*42266</f>
        <v>255.283936116928</v>
      </c>
      <c r="BF150" s="62" t="e">
        <f>VLOOKUP(B150,'2022年项目库建设情况'!B:O,14,0)</f>
        <v>#N/A</v>
      </c>
      <c r="BG150" s="59" t="e">
        <f t="shared" ref="BG150:BG154" si="939">BF150/$BF$9*1348663*0.025</f>
        <v>#N/A</v>
      </c>
      <c r="BH150" s="53" t="e">
        <f>ROUND(AI150+AD150+#REF!+#REF!+BE150+BG150,0)</f>
        <v>#REF!</v>
      </c>
      <c r="BI150" s="59" t="e">
        <f t="shared" ref="BI150:BI154" si="940">N150-G150</f>
        <v>#REF!</v>
      </c>
      <c r="BJ150" s="167" t="e">
        <f t="shared" ref="BJ150:BJ154" si="941">BI150/G150</f>
        <v>#REF!</v>
      </c>
      <c r="BK150" s="170">
        <f t="shared" ref="BK150:BK154" si="942">AD150+AI150+AO150+AP150+AS150+AU150+AW150+AX150+BA150+BC150+BE150</f>
        <v>11256.3997164875</v>
      </c>
      <c r="BL150" s="59">
        <v>10180</v>
      </c>
      <c r="BM150" s="59">
        <f t="shared" ref="BM150:BM154" si="943">BL150/$BL$9*1348663</f>
        <v>9244.0665602395893</v>
      </c>
      <c r="BN150" s="59">
        <f t="shared" ref="BN150:BN154" si="944">BK150-BM150</f>
        <v>2012.33315624792</v>
      </c>
      <c r="BO150" s="43">
        <f t="shared" si="907"/>
        <v>0.21768916776338801</v>
      </c>
    </row>
    <row r="151" ht="17" customHeight="1">
      <c r="A151" s="46">
        <v>101</v>
      </c>
      <c r="B151" s="82" t="s">
        <v>193</v>
      </c>
      <c r="C151" s="46" t="s">
        <v>90</v>
      </c>
      <c r="D151" s="46">
        <v>2019</v>
      </c>
      <c r="E151" s="46" t="s">
        <v>91</v>
      </c>
      <c r="F151" s="46"/>
      <c r="G151" s="73" t="e">
        <f>VLOOKUP(B:B,#REF!,2,0)</f>
        <v>#REF!</v>
      </c>
      <c r="H151" s="73" t="e">
        <f t="shared" si="924"/>
        <v>#REF!</v>
      </c>
      <c r="I151" s="59" t="e">
        <f>VLOOKUP(B151,#REF!,4,0)</f>
        <v>#REF!</v>
      </c>
      <c r="J151" s="59" t="e">
        <f>VLOOKUP(B151,#REF!,2,0)</f>
        <v>#REF!</v>
      </c>
      <c r="K151" s="73" t="e">
        <f t="shared" si="925"/>
        <v>#REF!</v>
      </c>
      <c r="L151" s="73" t="e">
        <f t="shared" si="926"/>
        <v>#REF!</v>
      </c>
      <c r="M151" s="59">
        <v>15020</v>
      </c>
      <c r="N151" s="59">
        <v>2265</v>
      </c>
      <c r="O151" s="73">
        <v>81855</v>
      </c>
      <c r="P151" s="59">
        <f t="shared" si="913"/>
        <v>65484</v>
      </c>
      <c r="Q151" s="59">
        <f t="shared" si="914"/>
        <v>0</v>
      </c>
      <c r="R151" s="59">
        <f t="shared" si="915"/>
        <v>0</v>
      </c>
      <c r="S151" s="59">
        <f t="shared" si="916"/>
        <v>0</v>
      </c>
      <c r="T151" s="59">
        <f t="shared" si="917"/>
        <v>65484</v>
      </c>
      <c r="U151" s="59">
        <f t="shared" si="918"/>
        <v>0</v>
      </c>
      <c r="V151" s="59">
        <v>10064</v>
      </c>
      <c r="W151" s="59">
        <f>V151*1</f>
        <v>10064</v>
      </c>
      <c r="X151" s="59">
        <v>21939</v>
      </c>
      <c r="Y151" s="59">
        <f t="shared" si="928"/>
        <v>3956</v>
      </c>
      <c r="Z151" s="59">
        <v>3956</v>
      </c>
      <c r="AA151" s="59"/>
      <c r="AB151" s="59"/>
      <c r="AC151" s="59">
        <v>1730</v>
      </c>
      <c r="AD151" s="59">
        <f t="shared" si="929"/>
        <v>6894.9070685398301</v>
      </c>
      <c r="AE151" s="59">
        <v>11840.129999999999</v>
      </c>
      <c r="AF151" s="62">
        <f t="shared" si="930"/>
        <v>0.61616873916818105</v>
      </c>
      <c r="AG151" s="62">
        <f t="shared" si="931"/>
        <v>5.6637614335600004</v>
      </c>
      <c r="AH151" s="62">
        <f>AG151*1</f>
        <v>5.6637614335600004</v>
      </c>
      <c r="AI151" s="59">
        <f t="shared" si="933"/>
        <v>1688.2369394539901</v>
      </c>
      <c r="AJ151" s="59">
        <f>P151</f>
        <v>65484</v>
      </c>
      <c r="AK151" s="59">
        <f>AJ151/$AJ$9*2859</f>
        <v>46.588291046916197</v>
      </c>
      <c r="AL151" s="59">
        <v>16451.290000000001</v>
      </c>
      <c r="AM151" s="59">
        <v>34</v>
      </c>
      <c r="AN151" s="62">
        <v>0.63954967261764595</v>
      </c>
      <c r="AO151" s="59">
        <f t="shared" si="934"/>
        <v>1852.9664092896501</v>
      </c>
      <c r="AP151" s="59"/>
      <c r="AQ151" s="59"/>
      <c r="AR151" s="59">
        <v>34744</v>
      </c>
      <c r="AS151" s="59">
        <f t="shared" si="935"/>
        <v>475.92629881826599</v>
      </c>
      <c r="AT151" s="189">
        <v>0.81999999999999995</v>
      </c>
      <c r="AU151" s="59">
        <f t="shared" si="936"/>
        <v>595.40319687950603</v>
      </c>
      <c r="AV151" s="59">
        <v>2</v>
      </c>
      <c r="AW151" s="59">
        <f t="shared" si="937"/>
        <v>2000</v>
      </c>
      <c r="AX151" s="59"/>
      <c r="AY151" s="62">
        <v>61.460000000000001</v>
      </c>
      <c r="AZ151" s="62" t="s">
        <v>440</v>
      </c>
      <c r="BA151" s="59"/>
      <c r="BB151" s="59" t="s">
        <v>441</v>
      </c>
      <c r="BC151" s="59">
        <v>1000</v>
      </c>
      <c r="BD151" s="62">
        <v>19.314691180984401</v>
      </c>
      <c r="BE151" s="59">
        <f t="shared" si="938"/>
        <v>242.07381704025099</v>
      </c>
      <c r="BF151" s="62" t="e">
        <f>VLOOKUP(B151,'2022年项目库建设情况'!B:O,14,0)</f>
        <v>#N/A</v>
      </c>
      <c r="BG151" s="59" t="e">
        <f t="shared" si="939"/>
        <v>#N/A</v>
      </c>
      <c r="BH151" s="53" t="e">
        <f>ROUND(AI151+AD151+#REF!+#REF!+BE151+BG151,0)</f>
        <v>#REF!</v>
      </c>
      <c r="BI151" s="59" t="e">
        <f t="shared" si="940"/>
        <v>#REF!</v>
      </c>
      <c r="BJ151" s="167" t="e">
        <f t="shared" si="941"/>
        <v>#REF!</v>
      </c>
      <c r="BK151" s="170">
        <f t="shared" si="942"/>
        <v>14749.513730021499</v>
      </c>
      <c r="BL151" s="59">
        <v>15020</v>
      </c>
      <c r="BM151" s="59">
        <f t="shared" si="943"/>
        <v>13639.0844533201</v>
      </c>
      <c r="BN151" s="59">
        <f t="shared" si="944"/>
        <v>1110.4292767013901</v>
      </c>
      <c r="BO151" s="43">
        <f t="shared" si="907"/>
        <v>8.1415235788138501e-002</v>
      </c>
    </row>
    <row r="152" ht="17" customHeight="1">
      <c r="A152" s="46">
        <v>102</v>
      </c>
      <c r="B152" s="82" t="s">
        <v>194</v>
      </c>
      <c r="C152" s="46" t="s">
        <v>78</v>
      </c>
      <c r="D152" s="46"/>
      <c r="E152" s="46"/>
      <c r="F152" s="46" t="s">
        <v>146</v>
      </c>
      <c r="G152" s="73" t="e">
        <f>VLOOKUP(B:B,#REF!,2,0)</f>
        <v>#REF!</v>
      </c>
      <c r="H152" s="73" t="e">
        <f t="shared" si="924"/>
        <v>#REF!</v>
      </c>
      <c r="I152" s="59" t="e">
        <f>VLOOKUP(B152,#REF!,4,0)</f>
        <v>#REF!</v>
      </c>
      <c r="J152" s="59" t="e">
        <f>VLOOKUP(B152,#REF!,2,0)</f>
        <v>#REF!</v>
      </c>
      <c r="K152" s="73" t="e">
        <f t="shared" si="925"/>
        <v>#REF!</v>
      </c>
      <c r="L152" s="73" t="e">
        <f t="shared" si="926"/>
        <v>#REF!</v>
      </c>
      <c r="M152" s="59">
        <v>6294</v>
      </c>
      <c r="N152" s="59">
        <v>684</v>
      </c>
      <c r="O152" s="73">
        <v>46649</v>
      </c>
      <c r="P152" s="59">
        <f t="shared" si="913"/>
        <v>9329.7999999999993</v>
      </c>
      <c r="Q152" s="59">
        <f t="shared" si="914"/>
        <v>9329.7999999999993</v>
      </c>
      <c r="R152" s="59">
        <f t="shared" si="915"/>
        <v>0</v>
      </c>
      <c r="S152" s="59">
        <f t="shared" si="916"/>
        <v>0</v>
      </c>
      <c r="T152" s="59">
        <f t="shared" si="917"/>
        <v>0</v>
      </c>
      <c r="U152" s="59">
        <f t="shared" si="918"/>
        <v>0</v>
      </c>
      <c r="V152" s="59">
        <v>10751</v>
      </c>
      <c r="W152" s="59">
        <f>V152*0.2</f>
        <v>2150.1999999999998</v>
      </c>
      <c r="X152" s="59">
        <v>4204</v>
      </c>
      <c r="Y152" s="59">
        <f t="shared" si="928"/>
        <v>0</v>
      </c>
      <c r="Z152" s="59"/>
      <c r="AA152" s="59"/>
      <c r="AB152" s="59"/>
      <c r="AC152" s="59">
        <v>1680</v>
      </c>
      <c r="AD152" s="59">
        <f t="shared" si="929"/>
        <v>2621.0200421423301</v>
      </c>
      <c r="AE152" s="59">
        <v>13402.24</v>
      </c>
      <c r="AF152" s="62">
        <f t="shared" si="930"/>
        <v>0.36409435502870802</v>
      </c>
      <c r="AG152" s="62">
        <f t="shared" si="931"/>
        <v>2.0899015978647801</v>
      </c>
      <c r="AH152" s="62">
        <f>AG152*0.2</f>
        <v>0.41798031957295601</v>
      </c>
      <c r="AI152" s="59">
        <f t="shared" si="933"/>
        <v>124.590314006977</v>
      </c>
      <c r="AJ152" s="59"/>
      <c r="AK152" s="59"/>
      <c r="AL152" s="59">
        <v>2678.9000000000001</v>
      </c>
      <c r="AM152" s="59">
        <v>39</v>
      </c>
      <c r="AN152" s="62">
        <v>0.531026547217884</v>
      </c>
      <c r="AO152" s="59">
        <f t="shared" si="934"/>
        <v>301.73388918717302</v>
      </c>
      <c r="AP152" s="59"/>
      <c r="AQ152" s="59"/>
      <c r="AR152" s="59">
        <v>24089</v>
      </c>
      <c r="AS152" s="59">
        <f t="shared" si="935"/>
        <v>329.973192845764</v>
      </c>
      <c r="AT152" s="189">
        <v>0.46999999999999997</v>
      </c>
      <c r="AU152" s="59">
        <f t="shared" si="936"/>
        <v>341.26768601630198</v>
      </c>
      <c r="AV152" s="59"/>
      <c r="AW152" s="59"/>
      <c r="AX152" s="59"/>
      <c r="AY152" s="62">
        <v>88.109999999999999</v>
      </c>
      <c r="AZ152" s="62" t="s">
        <v>442</v>
      </c>
      <c r="BA152" s="59">
        <v>500</v>
      </c>
      <c r="BB152" s="59" t="s">
        <v>441</v>
      </c>
      <c r="BC152" s="59">
        <v>800</v>
      </c>
      <c r="BD152" s="62">
        <v>33.090091118587999</v>
      </c>
      <c r="BE152" s="59">
        <f t="shared" si="938"/>
        <v>414.72289607055802</v>
      </c>
      <c r="BF152" s="62" t="e">
        <f>VLOOKUP(B152,'2022年项目库建设情况'!B:O,14,0)</f>
        <v>#N/A</v>
      </c>
      <c r="BG152" s="59" t="e">
        <f t="shared" si="939"/>
        <v>#N/A</v>
      </c>
      <c r="BH152" s="53" t="e">
        <f>ROUND(AI152+AD152+#REF!+#REF!+BE152+BG152,0)</f>
        <v>#REF!</v>
      </c>
      <c r="BI152" s="59" t="e">
        <f t="shared" si="940"/>
        <v>#REF!</v>
      </c>
      <c r="BJ152" s="167" t="e">
        <f t="shared" si="941"/>
        <v>#REF!</v>
      </c>
      <c r="BK152" s="170">
        <f t="shared" si="942"/>
        <v>5433.3080202690999</v>
      </c>
      <c r="BL152" s="59">
        <v>6294</v>
      </c>
      <c r="BM152" s="59">
        <f t="shared" si="943"/>
        <v>5715.3393841009802</v>
      </c>
      <c r="BN152" s="59">
        <f t="shared" si="944"/>
        <v>-282.03136383187598</v>
      </c>
      <c r="BO152" s="43">
        <f t="shared" si="907"/>
        <v>-4.93463895803695e-002</v>
      </c>
    </row>
    <row r="153" ht="17" customHeight="1">
      <c r="A153" s="46">
        <v>103</v>
      </c>
      <c r="B153" s="82" t="s">
        <v>196</v>
      </c>
      <c r="C153" s="46" t="s">
        <v>90</v>
      </c>
      <c r="D153" s="46">
        <v>2018</v>
      </c>
      <c r="E153" s="46"/>
      <c r="F153" s="46"/>
      <c r="G153" s="73" t="e">
        <f>VLOOKUP(B:B,#REF!,2,0)</f>
        <v>#REF!</v>
      </c>
      <c r="H153" s="73" t="e">
        <f t="shared" si="924"/>
        <v>#REF!</v>
      </c>
      <c r="I153" s="59" t="e">
        <f>VLOOKUP(B153,#REF!,4,0)</f>
        <v>#REF!</v>
      </c>
      <c r="J153" s="59" t="e">
        <f>VLOOKUP(B153,#REF!,2,0)</f>
        <v>#REF!</v>
      </c>
      <c r="K153" s="73" t="e">
        <f t="shared" si="925"/>
        <v>#REF!</v>
      </c>
      <c r="L153" s="73" t="e">
        <f t="shared" si="926"/>
        <v>#REF!</v>
      </c>
      <c r="M153" s="59">
        <v>7718</v>
      </c>
      <c r="N153" s="59">
        <v>1574</v>
      </c>
      <c r="O153" s="73">
        <v>80286</v>
      </c>
      <c r="P153" s="59">
        <f t="shared" si="913"/>
        <v>48171.599999999999</v>
      </c>
      <c r="Q153" s="59">
        <f t="shared" si="914"/>
        <v>0</v>
      </c>
      <c r="R153" s="59">
        <f t="shared" si="915"/>
        <v>0</v>
      </c>
      <c r="S153" s="59">
        <f t="shared" si="916"/>
        <v>48171.599999999999</v>
      </c>
      <c r="T153" s="59">
        <f t="shared" si="917"/>
        <v>0</v>
      </c>
      <c r="U153" s="59">
        <f t="shared" si="918"/>
        <v>0</v>
      </c>
      <c r="V153" s="59">
        <v>9732</v>
      </c>
      <c r="W153" s="59">
        <f t="shared" si="927"/>
        <v>4866</v>
      </c>
      <c r="X153" s="59">
        <v>13532</v>
      </c>
      <c r="Y153" s="59">
        <f t="shared" si="928"/>
        <v>0</v>
      </c>
      <c r="Z153" s="59"/>
      <c r="AA153" s="59"/>
      <c r="AB153" s="59"/>
      <c r="AC153" s="59">
        <v>2678</v>
      </c>
      <c r="AD153" s="59">
        <f t="shared" si="929"/>
        <v>5300.4272728330297</v>
      </c>
      <c r="AE153" s="59">
        <v>12528.940000000001</v>
      </c>
      <c r="AF153" s="62">
        <f t="shared" si="930"/>
        <v>0.50501692749095495</v>
      </c>
      <c r="AG153" s="62">
        <f t="shared" si="931"/>
        <v>4.5460613778880798</v>
      </c>
      <c r="AH153" s="62">
        <f t="shared" si="932"/>
        <v>2.2730306889440399</v>
      </c>
      <c r="AI153" s="59">
        <f t="shared" si="933"/>
        <v>677.53813761464198</v>
      </c>
      <c r="AJ153" s="59"/>
      <c r="AK153" s="59"/>
      <c r="AL153" s="59">
        <v>7722.8000000000002</v>
      </c>
      <c r="AM153" s="59">
        <v>27</v>
      </c>
      <c r="AN153" s="62">
        <v>0.38227159799371901</v>
      </c>
      <c r="AO153" s="59">
        <f t="shared" si="934"/>
        <v>869.84601120411298</v>
      </c>
      <c r="AP153" s="59"/>
      <c r="AQ153" s="59"/>
      <c r="AR153" s="59">
        <v>32066</v>
      </c>
      <c r="AS153" s="59">
        <f t="shared" si="935"/>
        <v>439.24282460011898</v>
      </c>
      <c r="AT153" s="189">
        <v>0.93000000000000005</v>
      </c>
      <c r="AU153" s="59">
        <f t="shared" si="936"/>
        <v>675.27435743651301</v>
      </c>
      <c r="AV153" s="59">
        <v>1</v>
      </c>
      <c r="AW153" s="59">
        <f t="shared" si="937"/>
        <v>1000</v>
      </c>
      <c r="AX153" s="59"/>
      <c r="AY153" s="62">
        <v>77.459999999999994</v>
      </c>
      <c r="AZ153" s="62" t="s">
        <v>440</v>
      </c>
      <c r="BA153" s="59"/>
      <c r="BB153" s="59" t="s">
        <v>441</v>
      </c>
      <c r="BC153" s="59">
        <v>800</v>
      </c>
      <c r="BD153" s="62">
        <v>34.9111557483551</v>
      </c>
      <c r="BE153" s="59">
        <f t="shared" si="938"/>
        <v>437.54656236032599</v>
      </c>
      <c r="BF153" s="62" t="e">
        <f>VLOOKUP(B153,'2022年项目库建设情况'!B:O,14,0)</f>
        <v>#N/A</v>
      </c>
      <c r="BG153" s="59" t="e">
        <f t="shared" si="939"/>
        <v>#N/A</v>
      </c>
      <c r="BH153" s="53" t="e">
        <f>ROUND(AI153+AD153+#REF!+#REF!+BE153+BG153,0)</f>
        <v>#REF!</v>
      </c>
      <c r="BI153" s="59" t="e">
        <f t="shared" si="940"/>
        <v>#REF!</v>
      </c>
      <c r="BJ153" s="167" t="e">
        <f t="shared" si="941"/>
        <v>#REF!</v>
      </c>
      <c r="BK153" s="170">
        <f t="shared" si="942"/>
        <v>10199.8751660487</v>
      </c>
      <c r="BL153" s="59">
        <v>7718</v>
      </c>
      <c r="BM153" s="59">
        <f t="shared" si="943"/>
        <v>7008.4190286767298</v>
      </c>
      <c r="BN153" s="59">
        <f t="shared" si="944"/>
        <v>3191.4561373720098</v>
      </c>
      <c r="BO153" s="43">
        <f t="shared" si="907"/>
        <v>0.45537461791501799</v>
      </c>
    </row>
    <row r="154" s="5" customFormat="1" ht="17" customHeight="1">
      <c r="A154" s="46">
        <v>104</v>
      </c>
      <c r="B154" s="82" t="s">
        <v>195</v>
      </c>
      <c r="C154" s="46" t="s">
        <v>90</v>
      </c>
      <c r="D154" s="46">
        <v>2018</v>
      </c>
      <c r="E154" s="46"/>
      <c r="F154" s="46" t="s">
        <v>146</v>
      </c>
      <c r="G154" s="73" t="e">
        <f>VLOOKUP(B:B,#REF!,2,0)</f>
        <v>#REF!</v>
      </c>
      <c r="H154" s="73" t="e">
        <f t="shared" si="924"/>
        <v>#REF!</v>
      </c>
      <c r="I154" s="59" t="e">
        <f>VLOOKUP(B154,#REF!,4,0)</f>
        <v>#REF!</v>
      </c>
      <c r="J154" s="59" t="e">
        <f>VLOOKUP(B154,#REF!,2,0)</f>
        <v>#REF!</v>
      </c>
      <c r="K154" s="73" t="e">
        <f t="shared" si="925"/>
        <v>#REF!</v>
      </c>
      <c r="L154" s="73" t="e">
        <f t="shared" si="926"/>
        <v>#REF!</v>
      </c>
      <c r="M154" s="59">
        <v>8417</v>
      </c>
      <c r="N154" s="59">
        <v>1509</v>
      </c>
      <c r="O154" s="73">
        <v>55995</v>
      </c>
      <c r="P154" s="59">
        <f t="shared" si="913"/>
        <v>33597</v>
      </c>
      <c r="Q154" s="59">
        <f t="shared" si="914"/>
        <v>0</v>
      </c>
      <c r="R154" s="59">
        <f t="shared" si="915"/>
        <v>0</v>
      </c>
      <c r="S154" s="59">
        <f t="shared" si="916"/>
        <v>33597</v>
      </c>
      <c r="T154" s="59">
        <f t="shared" si="917"/>
        <v>0</v>
      </c>
      <c r="U154" s="59">
        <f t="shared" si="918"/>
        <v>0</v>
      </c>
      <c r="V154" s="59">
        <v>9870</v>
      </c>
      <c r="W154" s="59">
        <f t="shared" si="927"/>
        <v>4935</v>
      </c>
      <c r="X154" s="59">
        <v>13630</v>
      </c>
      <c r="Y154" s="59">
        <f t="shared" si="928"/>
        <v>0</v>
      </c>
      <c r="Z154" s="59"/>
      <c r="AA154" s="59"/>
      <c r="AB154" s="59"/>
      <c r="AC154" s="59">
        <v>1706</v>
      </c>
      <c r="AD154" s="59">
        <f t="shared" si="929"/>
        <v>4354.1938139486701</v>
      </c>
      <c r="AE154" s="59">
        <v>12496.370000000001</v>
      </c>
      <c r="AF154" s="62">
        <f t="shared" si="930"/>
        <v>0.510272679449155</v>
      </c>
      <c r="AG154" s="62">
        <f t="shared" si="931"/>
        <v>3.3609110031918599</v>
      </c>
      <c r="AH154" s="62">
        <f t="shared" si="932"/>
        <v>1.6804555015959299</v>
      </c>
      <c r="AI154" s="59">
        <f t="shared" si="933"/>
        <v>500.90511159113299</v>
      </c>
      <c r="AJ154" s="59"/>
      <c r="AK154" s="59"/>
      <c r="AL154" s="59">
        <v>5373.8999999999996</v>
      </c>
      <c r="AM154" s="59">
        <v>27</v>
      </c>
      <c r="AN154" s="62">
        <v>0.270096463022508</v>
      </c>
      <c r="AO154" s="59">
        <f t="shared" si="934"/>
        <v>605.281177760628</v>
      </c>
      <c r="AP154" s="59"/>
      <c r="AQ154" s="59"/>
      <c r="AR154" s="59">
        <v>19973</v>
      </c>
      <c r="AS154" s="59">
        <f t="shared" si="935"/>
        <v>273.59187100786397</v>
      </c>
      <c r="AT154" s="189">
        <v>0.56999999999999995</v>
      </c>
      <c r="AU154" s="59">
        <f t="shared" si="936"/>
        <v>413.87783197721802</v>
      </c>
      <c r="AV154" s="59"/>
      <c r="AW154" s="59"/>
      <c r="AX154" s="59"/>
      <c r="AY154" s="62">
        <v>77.650000000000006</v>
      </c>
      <c r="AZ154" s="62" t="s">
        <v>440</v>
      </c>
      <c r="BA154" s="59"/>
      <c r="BB154" s="59" t="s">
        <v>441</v>
      </c>
      <c r="BC154" s="59">
        <v>800</v>
      </c>
      <c r="BD154" s="62">
        <v>20.4527668867964</v>
      </c>
      <c r="BE154" s="59">
        <f t="shared" si="938"/>
        <v>256.33748440128699</v>
      </c>
      <c r="BF154" s="62" t="e">
        <f>VLOOKUP(B154,'2022年项目库建设情况'!B:O,14,0)</f>
        <v>#N/A</v>
      </c>
      <c r="BG154" s="59" t="e">
        <f t="shared" si="939"/>
        <v>#N/A</v>
      </c>
      <c r="BH154" s="53" t="e">
        <f>ROUND(AI154+AD154+#REF!+#REF!+BE154+BG154,0)</f>
        <v>#REF!</v>
      </c>
      <c r="BI154" s="59" t="e">
        <f t="shared" si="940"/>
        <v>#REF!</v>
      </c>
      <c r="BJ154" s="182" t="e">
        <f t="shared" si="941"/>
        <v>#REF!</v>
      </c>
      <c r="BK154" s="170">
        <f t="shared" si="942"/>
        <v>7204.1872906868002</v>
      </c>
      <c r="BL154" s="59">
        <v>8417</v>
      </c>
      <c r="BM154" s="59">
        <f t="shared" si="943"/>
        <v>7643.1540508385697</v>
      </c>
      <c r="BN154" s="59">
        <f t="shared" si="944"/>
        <v>-438.96676015176899</v>
      </c>
      <c r="BO154" s="43">
        <f t="shared" si="907"/>
        <v>-5.74326720660049e-002</v>
      </c>
      <c r="BP154" s="4"/>
    </row>
    <row r="155" s="64" customFormat="1" ht="17" customHeight="1">
      <c r="A155" s="65"/>
      <c r="B155" s="66" t="s">
        <v>197</v>
      </c>
      <c r="C155" s="67">
        <v>1</v>
      </c>
      <c r="D155" s="67"/>
      <c r="E155" s="67"/>
      <c r="F155" s="68"/>
      <c r="G155" s="69" t="e">
        <f t="shared" ref="G155:M155" si="945">G156+G157</f>
        <v>#REF!</v>
      </c>
      <c r="H155" s="69" t="e">
        <f t="shared" si="945"/>
        <v>#REF!</v>
      </c>
      <c r="I155" s="69" t="e">
        <f t="shared" si="945"/>
        <v>#REF!</v>
      </c>
      <c r="J155" s="69" t="e">
        <f t="shared" si="945"/>
        <v>#REF!</v>
      </c>
      <c r="K155" s="69" t="e">
        <f t="shared" si="945"/>
        <v>#REF!</v>
      </c>
      <c r="L155" s="69" t="e">
        <f t="shared" si="945"/>
        <v>#REF!</v>
      </c>
      <c r="M155" s="69">
        <f t="shared" si="945"/>
        <v>49523</v>
      </c>
      <c r="N155" s="69">
        <v>11478</v>
      </c>
      <c r="O155" s="69">
        <f t="shared" ref="O155:AD155" si="946">O156+O157</f>
        <v>129655</v>
      </c>
      <c r="P155" s="69">
        <f t="shared" si="946"/>
        <v>73984.600000000006</v>
      </c>
      <c r="Q155" s="69">
        <f t="shared" si="946"/>
        <v>2713.5999999999999</v>
      </c>
      <c r="R155" s="69">
        <f t="shared" si="946"/>
        <v>8220</v>
      </c>
      <c r="S155" s="69">
        <f t="shared" si="946"/>
        <v>40135.800000000003</v>
      </c>
      <c r="T155" s="69">
        <f t="shared" si="946"/>
        <v>22915.200000000001</v>
      </c>
      <c r="U155" s="69">
        <f t="shared" si="946"/>
        <v>0</v>
      </c>
      <c r="V155" s="69">
        <f t="shared" si="946"/>
        <v>32214</v>
      </c>
      <c r="W155" s="69">
        <f t="shared" si="946"/>
        <v>26074.700000000001</v>
      </c>
      <c r="X155" s="69">
        <f t="shared" si="946"/>
        <v>17938</v>
      </c>
      <c r="Y155" s="69">
        <f t="shared" si="946"/>
        <v>0</v>
      </c>
      <c r="Z155" s="69">
        <f t="shared" si="946"/>
        <v>0</v>
      </c>
      <c r="AA155" s="69">
        <f t="shared" si="946"/>
        <v>0</v>
      </c>
      <c r="AB155" s="69">
        <f t="shared" si="946"/>
        <v>0</v>
      </c>
      <c r="AC155" s="69">
        <f t="shared" si="946"/>
        <v>3328</v>
      </c>
      <c r="AD155" s="69">
        <f t="shared" si="946"/>
        <v>11179.3613156762</v>
      </c>
      <c r="AE155" s="69"/>
      <c r="AF155" s="69">
        <f t="shared" ref="AF155:AL155" si="947">AF156+AF157</f>
        <v>2.98620788701666</v>
      </c>
      <c r="AG155" s="69">
        <f t="shared" si="947"/>
        <v>10.1321578500634</v>
      </c>
      <c r="AH155" s="69">
        <f t="shared" si="947"/>
        <v>8.8334997587872905</v>
      </c>
      <c r="AI155" s="69">
        <f t="shared" si="947"/>
        <v>2633.0629869183799</v>
      </c>
      <c r="AJ155" s="69">
        <f t="shared" si="947"/>
        <v>63051</v>
      </c>
      <c r="AK155" s="69">
        <f t="shared" si="947"/>
        <v>44.857344371130502</v>
      </c>
      <c r="AL155" s="69">
        <f t="shared" si="947"/>
        <v>9089.7428</v>
      </c>
      <c r="AM155" s="69">
        <v>62</v>
      </c>
      <c r="AN155" s="71">
        <v>2.9473018196108698</v>
      </c>
      <c r="AO155" s="69">
        <f t="shared" ref="AO155:BA155" si="948">AO156+AO157</f>
        <v>1023.80956614846</v>
      </c>
      <c r="AP155" s="69">
        <f t="shared" si="948"/>
        <v>3000</v>
      </c>
      <c r="AQ155" s="69"/>
      <c r="AR155" s="69">
        <f t="shared" si="948"/>
        <v>65215</v>
      </c>
      <c r="AS155" s="69">
        <f t="shared" si="948"/>
        <v>893.32067630189999</v>
      </c>
      <c r="AT155" s="69">
        <f t="shared" si="948"/>
        <v>1.52</v>
      </c>
      <c r="AU155" s="69">
        <f t="shared" si="948"/>
        <v>1103.67421860591</v>
      </c>
      <c r="AV155" s="69">
        <f t="shared" si="948"/>
        <v>0</v>
      </c>
      <c r="AW155" s="69">
        <f t="shared" si="948"/>
        <v>0</v>
      </c>
      <c r="AX155" s="69">
        <f t="shared" si="948"/>
        <v>0</v>
      </c>
      <c r="AY155" s="69">
        <f t="shared" si="948"/>
        <v>389.74000000000001</v>
      </c>
      <c r="AZ155" s="69">
        <f t="shared" si="948"/>
        <v>0</v>
      </c>
      <c r="BA155" s="69">
        <f t="shared" si="948"/>
        <v>1000</v>
      </c>
      <c r="BB155" s="69"/>
      <c r="BC155" s="69">
        <f t="shared" ref="BC155:BK155" si="949">BC156+BC157</f>
        <v>0</v>
      </c>
      <c r="BD155" s="71">
        <f t="shared" si="949"/>
        <v>51.790223593522299</v>
      </c>
      <c r="BE155" s="69">
        <f t="shared" si="949"/>
        <v>649.09435999654795</v>
      </c>
      <c r="BF155" s="71" t="e">
        <f t="shared" si="949"/>
        <v>#N/A</v>
      </c>
      <c r="BG155" s="69" t="e">
        <f t="shared" si="949"/>
        <v>#N/A</v>
      </c>
      <c r="BH155" s="70" t="e">
        <f t="shared" si="949"/>
        <v>#REF!</v>
      </c>
      <c r="BI155" s="70" t="e">
        <f t="shared" si="949"/>
        <v>#REF!</v>
      </c>
      <c r="BJ155" s="183" t="e">
        <f t="shared" si="949"/>
        <v>#REF!</v>
      </c>
      <c r="BK155" s="184">
        <f t="shared" si="949"/>
        <v>21482.323123647398</v>
      </c>
      <c r="BL155" s="69">
        <v>49523</v>
      </c>
      <c r="BM155" s="184">
        <f>BM156+BM157</f>
        <v>44969.932049385599</v>
      </c>
      <c r="BN155" s="184">
        <f>BN156+BN157</f>
        <v>-23487.608925738099</v>
      </c>
      <c r="BO155" s="43">
        <f t="shared" ref="BO155:BO194" si="950">BN155/BM155</f>
        <v>-0.52229585092421904</v>
      </c>
      <c r="BP155" s="185"/>
    </row>
    <row r="156" s="5" customFormat="1" ht="17" customHeight="1">
      <c r="A156" s="44"/>
      <c r="B156" s="72" t="s">
        <v>198</v>
      </c>
      <c r="C156" s="46">
        <v>2</v>
      </c>
      <c r="D156" s="46"/>
      <c r="E156" s="46"/>
      <c r="F156" s="46"/>
      <c r="G156" s="73"/>
      <c r="H156" s="73"/>
      <c r="I156" s="73"/>
      <c r="J156" s="73"/>
      <c r="K156" s="73"/>
      <c r="L156" s="73"/>
      <c r="M156" s="73"/>
      <c r="N156" s="73"/>
      <c r="O156" s="73"/>
      <c r="P156" s="59">
        <f t="shared" ref="P156:P162" si="951">SUM(Q156:U156)</f>
        <v>0</v>
      </c>
      <c r="Q156" s="59">
        <f t="shared" ref="Q156:Q162" si="952">IF(D156="",O156*0.2,0)</f>
        <v>0</v>
      </c>
      <c r="R156" s="59">
        <f t="shared" ref="R156:R162" si="953">IF(D156=2017,O156*0.4,0)</f>
        <v>0</v>
      </c>
      <c r="S156" s="59">
        <f t="shared" ref="S156:S162" si="954">IF(D156=2018,O156*0.6,0)</f>
        <v>0</v>
      </c>
      <c r="T156" s="59">
        <f t="shared" ref="T156:T162" si="955">IF(D156=2019,O156*0.8,0)</f>
        <v>0</v>
      </c>
      <c r="U156" s="59">
        <f t="shared" ref="U156:U162" si="956">IF(D156=2020,O156*1,0)</f>
        <v>0</v>
      </c>
      <c r="V156" s="59"/>
      <c r="W156" s="59"/>
      <c r="X156" s="59"/>
      <c r="Y156" s="59">
        <f>T156*0.4+U156*0.6+V156*0.8+X156*1</f>
        <v>0</v>
      </c>
      <c r="Z156" s="59"/>
      <c r="AA156" s="59"/>
      <c r="AB156" s="59"/>
      <c r="AC156" s="59"/>
      <c r="AD156" s="59"/>
      <c r="AE156" s="59"/>
      <c r="AF156" s="62"/>
      <c r="AG156" s="62"/>
      <c r="AH156" s="62"/>
      <c r="AI156" s="59"/>
      <c r="AJ156" s="59"/>
      <c r="AK156" s="59"/>
      <c r="AL156" s="59"/>
      <c r="AM156" s="59"/>
      <c r="AN156" s="62"/>
      <c r="AO156" s="59"/>
      <c r="AP156" s="59"/>
      <c r="AQ156" s="59"/>
      <c r="AR156" s="59"/>
      <c r="AS156" s="59"/>
      <c r="AT156" s="59"/>
      <c r="AU156" s="59"/>
      <c r="AV156" s="59"/>
      <c r="AW156" s="59"/>
      <c r="AX156" s="59"/>
      <c r="AY156" s="62"/>
      <c r="AZ156" s="62"/>
      <c r="BA156" s="59"/>
      <c r="BB156" s="59"/>
      <c r="BC156" s="59"/>
      <c r="BD156" s="62"/>
      <c r="BE156" s="59"/>
      <c r="BF156" s="62"/>
      <c r="BG156" s="59"/>
      <c r="BH156" s="53"/>
      <c r="BI156" s="59"/>
      <c r="BJ156" s="182"/>
      <c r="BK156" s="170"/>
      <c r="BL156" s="73"/>
      <c r="BM156" s="170"/>
      <c r="BN156" s="50"/>
      <c r="BO156" s="43"/>
      <c r="BP156" s="4"/>
    </row>
    <row r="157" s="74" customFormat="1" ht="17" customHeight="1">
      <c r="A157" s="75"/>
      <c r="B157" s="76" t="s">
        <v>76</v>
      </c>
      <c r="C157" s="77">
        <v>3</v>
      </c>
      <c r="D157" s="77"/>
      <c r="E157" s="77"/>
      <c r="F157" s="78"/>
      <c r="G157" s="79" t="e">
        <f t="shared" ref="G157:M157" si="957">SUM(G158:G162)</f>
        <v>#REF!</v>
      </c>
      <c r="H157" s="79" t="e">
        <f t="shared" si="957"/>
        <v>#REF!</v>
      </c>
      <c r="I157" s="79" t="e">
        <f t="shared" si="957"/>
        <v>#REF!</v>
      </c>
      <c r="J157" s="79" t="e">
        <f t="shared" si="957"/>
        <v>#REF!</v>
      </c>
      <c r="K157" s="79" t="e">
        <f t="shared" si="957"/>
        <v>#REF!</v>
      </c>
      <c r="L157" s="79" t="e">
        <f t="shared" si="957"/>
        <v>#REF!</v>
      </c>
      <c r="M157" s="79">
        <f t="shared" si="957"/>
        <v>49523</v>
      </c>
      <c r="N157" s="79">
        <v>11478</v>
      </c>
      <c r="O157" s="79">
        <f t="shared" ref="O157:AD157" si="958">SUM(O158:O162)</f>
        <v>129655</v>
      </c>
      <c r="P157" s="79">
        <f t="shared" si="958"/>
        <v>73984.600000000006</v>
      </c>
      <c r="Q157" s="79">
        <f t="shared" si="958"/>
        <v>2713.5999999999999</v>
      </c>
      <c r="R157" s="79">
        <f t="shared" si="958"/>
        <v>8220</v>
      </c>
      <c r="S157" s="79">
        <f t="shared" si="958"/>
        <v>40135.800000000003</v>
      </c>
      <c r="T157" s="79">
        <f t="shared" si="958"/>
        <v>22915.200000000001</v>
      </c>
      <c r="U157" s="79">
        <f t="shared" si="958"/>
        <v>0</v>
      </c>
      <c r="V157" s="79">
        <f t="shared" si="958"/>
        <v>32214</v>
      </c>
      <c r="W157" s="79">
        <f t="shared" si="958"/>
        <v>26074.700000000001</v>
      </c>
      <c r="X157" s="79">
        <f t="shared" si="958"/>
        <v>17938</v>
      </c>
      <c r="Y157" s="79">
        <f t="shared" si="958"/>
        <v>0</v>
      </c>
      <c r="Z157" s="79">
        <f t="shared" si="958"/>
        <v>0</v>
      </c>
      <c r="AA157" s="79">
        <f t="shared" si="958"/>
        <v>0</v>
      </c>
      <c r="AB157" s="79">
        <f t="shared" si="958"/>
        <v>0</v>
      </c>
      <c r="AC157" s="79">
        <f t="shared" si="958"/>
        <v>3328</v>
      </c>
      <c r="AD157" s="79">
        <f t="shared" si="958"/>
        <v>11179.3613156762</v>
      </c>
      <c r="AE157" s="79"/>
      <c r="AF157" s="79">
        <f t="shared" ref="AF157:AL157" si="959">SUM(AF158:AF162)</f>
        <v>2.98620788701666</v>
      </c>
      <c r="AG157" s="79">
        <f t="shared" si="959"/>
        <v>10.1321578500634</v>
      </c>
      <c r="AH157" s="79">
        <f t="shared" si="959"/>
        <v>8.8334997587872905</v>
      </c>
      <c r="AI157" s="79">
        <f t="shared" si="959"/>
        <v>2633.0629869183799</v>
      </c>
      <c r="AJ157" s="79">
        <f t="shared" si="959"/>
        <v>63051</v>
      </c>
      <c r="AK157" s="79">
        <f t="shared" si="959"/>
        <v>44.857344371130502</v>
      </c>
      <c r="AL157" s="79">
        <f t="shared" si="959"/>
        <v>9089.7428</v>
      </c>
      <c r="AM157" s="79">
        <v>62</v>
      </c>
      <c r="AN157" s="81">
        <v>2.9473018196108698</v>
      </c>
      <c r="AO157" s="79">
        <f t="shared" ref="AO157:BA157" si="960">SUM(AO158:AO162)</f>
        <v>1023.80956614846</v>
      </c>
      <c r="AP157" s="79">
        <f t="shared" si="960"/>
        <v>3000</v>
      </c>
      <c r="AQ157" s="79"/>
      <c r="AR157" s="79">
        <f t="shared" si="960"/>
        <v>65215</v>
      </c>
      <c r="AS157" s="79">
        <f t="shared" si="960"/>
        <v>893.32067630189999</v>
      </c>
      <c r="AT157" s="79">
        <f t="shared" si="960"/>
        <v>1.52</v>
      </c>
      <c r="AU157" s="79">
        <f t="shared" si="960"/>
        <v>1103.67421860591</v>
      </c>
      <c r="AV157" s="79">
        <f t="shared" si="960"/>
        <v>0</v>
      </c>
      <c r="AW157" s="79">
        <f t="shared" si="960"/>
        <v>0</v>
      </c>
      <c r="AX157" s="79">
        <f t="shared" si="960"/>
        <v>0</v>
      </c>
      <c r="AY157" s="79">
        <f t="shared" si="960"/>
        <v>389.74000000000001</v>
      </c>
      <c r="AZ157" s="79">
        <f t="shared" si="960"/>
        <v>0</v>
      </c>
      <c r="BA157" s="79">
        <f t="shared" si="960"/>
        <v>1000</v>
      </c>
      <c r="BB157" s="79"/>
      <c r="BC157" s="79">
        <f t="shared" ref="BC157:BK157" si="961">SUM(BC158:BC162)</f>
        <v>0</v>
      </c>
      <c r="BD157" s="81">
        <f t="shared" si="961"/>
        <v>51.790223593522299</v>
      </c>
      <c r="BE157" s="79">
        <f t="shared" si="961"/>
        <v>649.09435999654795</v>
      </c>
      <c r="BF157" s="81" t="e">
        <f t="shared" si="961"/>
        <v>#N/A</v>
      </c>
      <c r="BG157" s="79" t="e">
        <f t="shared" si="961"/>
        <v>#N/A</v>
      </c>
      <c r="BH157" s="80" t="e">
        <f t="shared" si="961"/>
        <v>#REF!</v>
      </c>
      <c r="BI157" s="80" t="e">
        <f t="shared" si="961"/>
        <v>#REF!</v>
      </c>
      <c r="BJ157" s="186" t="e">
        <f t="shared" si="961"/>
        <v>#REF!</v>
      </c>
      <c r="BK157" s="187">
        <f t="shared" si="961"/>
        <v>21482.323123647398</v>
      </c>
      <c r="BL157" s="79">
        <v>49523</v>
      </c>
      <c r="BM157" s="187">
        <f>SUM(BM158:BM162)</f>
        <v>44969.932049385599</v>
      </c>
      <c r="BN157" s="187">
        <f>SUM(BN158:BN162)</f>
        <v>-23487.608925738099</v>
      </c>
      <c r="BO157" s="43">
        <f t="shared" si="950"/>
        <v>-0.52229585092421904</v>
      </c>
      <c r="BP157" s="188"/>
    </row>
    <row r="158" ht="17" customHeight="1">
      <c r="A158" s="46">
        <v>105</v>
      </c>
      <c r="B158" s="82" t="s">
        <v>200</v>
      </c>
      <c r="C158" s="46" t="s">
        <v>90</v>
      </c>
      <c r="D158" s="46">
        <v>2017</v>
      </c>
      <c r="E158" s="46"/>
      <c r="F158" s="46" t="s">
        <v>146</v>
      </c>
      <c r="G158" s="73" t="e">
        <f>VLOOKUP(B:B,#REF!,2,0)</f>
        <v>#REF!</v>
      </c>
      <c r="H158" s="73" t="e">
        <f t="shared" ref="H158:H162" si="962">G158*299423/381298.76</f>
        <v>#REF!</v>
      </c>
      <c r="I158" s="59" t="e">
        <f>VLOOKUP(B158,#REF!,4,0)</f>
        <v>#REF!</v>
      </c>
      <c r="J158" s="59" t="e">
        <f>VLOOKUP(B158,#REF!,2,0)</f>
        <v>#REF!</v>
      </c>
      <c r="K158" s="73" t="e">
        <f t="shared" ref="K158:K162" si="963">I158*1485211/1408452</f>
        <v>#REF!</v>
      </c>
      <c r="L158" s="73" t="e">
        <f t="shared" ref="L158:L162" si="964">J158*1485211/1408452</f>
        <v>#REF!</v>
      </c>
      <c r="M158" s="59">
        <v>5596</v>
      </c>
      <c r="N158" s="59">
        <v>1357</v>
      </c>
      <c r="O158" s="73">
        <v>20550</v>
      </c>
      <c r="P158" s="59">
        <f t="shared" si="951"/>
        <v>8220</v>
      </c>
      <c r="Q158" s="59">
        <f t="shared" si="952"/>
        <v>0</v>
      </c>
      <c r="R158" s="59">
        <f t="shared" si="953"/>
        <v>8220</v>
      </c>
      <c r="S158" s="59">
        <f t="shared" si="954"/>
        <v>0</v>
      </c>
      <c r="T158" s="59">
        <f t="shared" si="955"/>
        <v>0</v>
      </c>
      <c r="U158" s="59">
        <f t="shared" si="956"/>
        <v>0</v>
      </c>
      <c r="V158" s="59">
        <v>4269</v>
      </c>
      <c r="W158" s="59">
        <f>V158*0.5</f>
        <v>2134.5</v>
      </c>
      <c r="X158" s="59">
        <v>4796</v>
      </c>
      <c r="Y158" s="59">
        <f t="shared" ref="Y158:Y162" si="965">Z158+AA158+AB158*1.2</f>
        <v>0</v>
      </c>
      <c r="Z158" s="59"/>
      <c r="AA158" s="59"/>
      <c r="AB158" s="59"/>
      <c r="AC158" s="59">
        <v>1040</v>
      </c>
      <c r="AD158" s="59">
        <f t="shared" ref="AD158:AD162" si="966">O158/$O$9*202299+W158/$W$9*134866+AC158/$AC$9*34867+X158/$X$9*100000</f>
        <v>1732.77524669628</v>
      </c>
      <c r="AE158" s="59">
        <v>12489.9</v>
      </c>
      <c r="AF158" s="62">
        <f t="shared" ref="AF158:AF162" si="967">($AE$64-AE158)/($AE$64-$AE$44)</f>
        <v>0.51131672965393105</v>
      </c>
      <c r="AG158" s="62">
        <f t="shared" ref="AG158:AG162" si="968">(O158+V158)*AF158/10000</f>
        <v>1.2690369913280899</v>
      </c>
      <c r="AH158" s="62">
        <f>AG158*0.5</f>
        <v>0.63451849566404495</v>
      </c>
      <c r="AI158" s="59">
        <f t="shared" ref="AI158:AI162" si="969">AH158/$AH$9*1348663*0.1</f>
        <v>189.135360963376</v>
      </c>
      <c r="AJ158" s="59"/>
      <c r="AK158" s="59"/>
      <c r="AL158" s="59">
        <v>635.79999999999995</v>
      </c>
      <c r="AM158" s="59">
        <v>15</v>
      </c>
      <c r="AN158" s="62">
        <v>0.73562284088599905</v>
      </c>
      <c r="AO158" s="59">
        <f t="shared" ref="AO158:AO162" si="970">(AL158/$AL$9*80000)</f>
        <v>71.612380732839796</v>
      </c>
      <c r="AP158" s="59"/>
      <c r="AQ158" s="59"/>
      <c r="AR158" s="59">
        <v>11462</v>
      </c>
      <c r="AS158" s="59">
        <f t="shared" ref="AS158:AS162" si="971">AR158/$AR$9*50000</f>
        <v>157.00746134742599</v>
      </c>
      <c r="AT158" s="189">
        <v>0.252</v>
      </c>
      <c r="AU158" s="59">
        <f t="shared" ref="AU158:AU162" si="972">AT158/$AT$9*50000</f>
        <v>182.97756782150699</v>
      </c>
      <c r="AV158" s="59"/>
      <c r="AW158" s="59"/>
      <c r="AX158" s="59"/>
      <c r="AY158" s="62">
        <v>81.930000000000007</v>
      </c>
      <c r="AZ158" s="62" t="s">
        <v>442</v>
      </c>
      <c r="BA158" s="59">
        <v>500</v>
      </c>
      <c r="BB158" s="59" t="s">
        <v>443</v>
      </c>
      <c r="BC158" s="59"/>
      <c r="BD158" s="62">
        <v>18.929838749136501</v>
      </c>
      <c r="BE158" s="59">
        <f t="shared" ref="BE158:BE162" si="973">BD158/$BD$9*42266</f>
        <v>237.25040587091499</v>
      </c>
      <c r="BF158" s="62" t="e">
        <f>VLOOKUP(B158,'2022年项目库建设情况'!B:O,14,0)</f>
        <v>#N/A</v>
      </c>
      <c r="BG158" s="59" t="e">
        <f t="shared" ref="BG158:BG162" si="974">BF158/$BF$9*1348663*0.025</f>
        <v>#N/A</v>
      </c>
      <c r="BH158" s="53" t="e">
        <f>ROUND(AI158+AD158+#REF!+#REF!+BE158+BG158,0)</f>
        <v>#REF!</v>
      </c>
      <c r="BI158" s="59" t="e">
        <f t="shared" ref="BI158:BI162" si="975">N158-G158</f>
        <v>#REF!</v>
      </c>
      <c r="BJ158" s="167" t="e">
        <f t="shared" ref="BJ158:BJ162" si="976">BI158/G158</f>
        <v>#REF!</v>
      </c>
      <c r="BK158" s="170">
        <f t="shared" ref="BK158:BK162" si="977">AD158+AI158+AO158+AP158+AS158+AU158+AW158+AX158+BA158+BC158+BE158</f>
        <v>3070.7584234323499</v>
      </c>
      <c r="BL158" s="59">
        <v>5596</v>
      </c>
      <c r="BM158" s="59">
        <f t="shared" ref="BM158:BM162" si="978">BL158/$BL$9*1348663</f>
        <v>5081.5124234873001</v>
      </c>
      <c r="BN158" s="59">
        <f t="shared" ref="BN158:BN162" si="979">BK158-BM158</f>
        <v>-2010.75400005496</v>
      </c>
      <c r="BO158" s="43">
        <f t="shared" si="950"/>
        <v>-0.39569990831096502</v>
      </c>
    </row>
    <row r="159" ht="17" customHeight="1">
      <c r="A159" s="46">
        <v>106</v>
      </c>
      <c r="B159" s="82" t="s">
        <v>201</v>
      </c>
      <c r="C159" s="46" t="s">
        <v>90</v>
      </c>
      <c r="D159" s="46">
        <v>2019</v>
      </c>
      <c r="E159" s="46" t="s">
        <v>91</v>
      </c>
      <c r="F159" s="46"/>
      <c r="G159" s="73" t="e">
        <f>VLOOKUP(B:B,#REF!,2,0)</f>
        <v>#REF!</v>
      </c>
      <c r="H159" s="73" t="e">
        <f t="shared" si="962"/>
        <v>#REF!</v>
      </c>
      <c r="I159" s="59" t="e">
        <f>VLOOKUP(B159,#REF!,4,0)</f>
        <v>#REF!</v>
      </c>
      <c r="J159" s="59" t="e">
        <f>VLOOKUP(B159,#REF!,2,0)</f>
        <v>#REF!</v>
      </c>
      <c r="K159" s="73" t="e">
        <f t="shared" si="963"/>
        <v>#REF!</v>
      </c>
      <c r="L159" s="73" t="e">
        <f t="shared" si="964"/>
        <v>#REF!</v>
      </c>
      <c r="M159" s="59">
        <v>9862</v>
      </c>
      <c r="N159" s="59">
        <v>1735</v>
      </c>
      <c r="O159" s="73">
        <v>28644</v>
      </c>
      <c r="P159" s="59">
        <f t="shared" si="951"/>
        <v>22915.200000000001</v>
      </c>
      <c r="Q159" s="59">
        <f t="shared" si="952"/>
        <v>0</v>
      </c>
      <c r="R159" s="59">
        <f t="shared" si="953"/>
        <v>0</v>
      </c>
      <c r="S159" s="59">
        <f t="shared" si="954"/>
        <v>0</v>
      </c>
      <c r="T159" s="59">
        <f t="shared" si="955"/>
        <v>22915.200000000001</v>
      </c>
      <c r="U159" s="59">
        <f t="shared" si="956"/>
        <v>0</v>
      </c>
      <c r="V159" s="59">
        <v>7865</v>
      </c>
      <c r="W159" s="59">
        <f t="shared" ref="W159:W161" si="980">V159*1</f>
        <v>7865</v>
      </c>
      <c r="X159" s="59">
        <v>3702</v>
      </c>
      <c r="Y159" s="59">
        <f t="shared" si="965"/>
        <v>0</v>
      </c>
      <c r="Z159" s="59"/>
      <c r="AA159" s="59"/>
      <c r="AB159" s="59"/>
      <c r="AC159" s="59">
        <v>997</v>
      </c>
      <c r="AD159" s="59">
        <f t="shared" si="966"/>
        <v>2880.72720999587</v>
      </c>
      <c r="AE159" s="59">
        <v>11483.950000000001</v>
      </c>
      <c r="AF159" s="62">
        <f t="shared" si="967"/>
        <v>0.67364475183233197</v>
      </c>
      <c r="AG159" s="62">
        <f t="shared" si="968"/>
        <v>2.4594096244646599</v>
      </c>
      <c r="AH159" s="62">
        <f t="shared" ref="AH159:AH161" si="981">AG159*1</f>
        <v>2.4594096244646599</v>
      </c>
      <c r="AI159" s="59">
        <f t="shared" si="969"/>
        <v>733.09340903154703</v>
      </c>
      <c r="AJ159" s="59">
        <f t="shared" ref="AJ159:AJ161" si="982">P159</f>
        <v>22915.200000000001</v>
      </c>
      <c r="AK159" s="59">
        <f t="shared" ref="AK159:AK161" si="983">AJ159/$AJ$9*2859</f>
        <v>16.3029137957103</v>
      </c>
      <c r="AL159" s="59">
        <v>2323.3000000000002</v>
      </c>
      <c r="AM159" s="59">
        <v>17</v>
      </c>
      <c r="AN159" s="62">
        <v>0.80865139949109399</v>
      </c>
      <c r="AO159" s="59">
        <f t="shared" si="970"/>
        <v>261.68141578579201</v>
      </c>
      <c r="AP159" s="59"/>
      <c r="AQ159" s="59"/>
      <c r="AR159" s="59">
        <v>13392</v>
      </c>
      <c r="AS159" s="59">
        <f t="shared" si="971"/>
        <v>183.44476726267001</v>
      </c>
      <c r="AT159" s="189">
        <v>0.33610000000000001</v>
      </c>
      <c r="AU159" s="59">
        <f t="shared" si="972"/>
        <v>244.042700574637</v>
      </c>
      <c r="AV159" s="59"/>
      <c r="AW159" s="59"/>
      <c r="AX159" s="59"/>
      <c r="AY159" s="62">
        <v>75.439999999999998</v>
      </c>
      <c r="AZ159" s="62" t="s">
        <v>440</v>
      </c>
      <c r="BA159" s="59"/>
      <c r="BB159" s="59" t="s">
        <v>443</v>
      </c>
      <c r="BC159" s="59"/>
      <c r="BD159" s="62">
        <v>32.093855972419298</v>
      </c>
      <c r="BE159" s="59">
        <f t="shared" si="973"/>
        <v>402.23693695048001</v>
      </c>
      <c r="BF159" s="62" t="e">
        <f>VLOOKUP(B159,'2022年项目库建设情况'!B:O,14,0)</f>
        <v>#N/A</v>
      </c>
      <c r="BG159" s="59" t="e">
        <f t="shared" si="974"/>
        <v>#N/A</v>
      </c>
      <c r="BH159" s="53" t="e">
        <f>ROUND(AI159+AD159+#REF!+#REF!+BE159+BG159,0)</f>
        <v>#REF!</v>
      </c>
      <c r="BI159" s="59" t="e">
        <f t="shared" si="975"/>
        <v>#REF!</v>
      </c>
      <c r="BJ159" s="167" t="e">
        <f t="shared" si="976"/>
        <v>#REF!</v>
      </c>
      <c r="BK159" s="170">
        <f t="shared" si="977"/>
        <v>4705.2264396009996</v>
      </c>
      <c r="BL159" s="59">
        <v>9862</v>
      </c>
      <c r="BM159" s="59">
        <f t="shared" si="978"/>
        <v>8955.3029879256192</v>
      </c>
      <c r="BN159" s="59">
        <f t="shared" si="979"/>
        <v>-4250.0765483246296</v>
      </c>
      <c r="BO159" s="43">
        <f t="shared" si="950"/>
        <v>-0.47458768888724101</v>
      </c>
    </row>
    <row r="160" ht="17" customHeight="1">
      <c r="A160" s="46">
        <v>107</v>
      </c>
      <c r="B160" s="82" t="s">
        <v>202</v>
      </c>
      <c r="C160" s="46" t="s">
        <v>90</v>
      </c>
      <c r="D160" s="46">
        <v>2018</v>
      </c>
      <c r="E160" s="46" t="s">
        <v>91</v>
      </c>
      <c r="F160" s="46" t="s">
        <v>146</v>
      </c>
      <c r="G160" s="73" t="e">
        <f>VLOOKUP(B:B,#REF!,2,0)</f>
        <v>#REF!</v>
      </c>
      <c r="H160" s="73" t="e">
        <f t="shared" si="962"/>
        <v>#REF!</v>
      </c>
      <c r="I160" s="59" t="e">
        <f>VLOOKUP(B160,#REF!,4,0)</f>
        <v>#REF!</v>
      </c>
      <c r="J160" s="59" t="e">
        <f>VLOOKUP(B160,#REF!,2,0)</f>
        <v>#REF!</v>
      </c>
      <c r="K160" s="73" t="e">
        <f t="shared" si="963"/>
        <v>#REF!</v>
      </c>
      <c r="L160" s="73" t="e">
        <f t="shared" si="964"/>
        <v>#REF!</v>
      </c>
      <c r="M160" s="59">
        <v>14584</v>
      </c>
      <c r="N160" s="59">
        <v>3571</v>
      </c>
      <c r="O160" s="73">
        <v>38110</v>
      </c>
      <c r="P160" s="59">
        <f t="shared" si="951"/>
        <v>22866</v>
      </c>
      <c r="Q160" s="59">
        <f t="shared" si="952"/>
        <v>0</v>
      </c>
      <c r="R160" s="59">
        <f t="shared" si="953"/>
        <v>0</v>
      </c>
      <c r="S160" s="59">
        <f t="shared" si="954"/>
        <v>22866</v>
      </c>
      <c r="T160" s="59">
        <f t="shared" si="955"/>
        <v>0</v>
      </c>
      <c r="U160" s="59">
        <f t="shared" si="956"/>
        <v>0</v>
      </c>
      <c r="V160" s="59">
        <v>8586</v>
      </c>
      <c r="W160" s="59">
        <f t="shared" si="980"/>
        <v>8586</v>
      </c>
      <c r="X160" s="59">
        <v>3888</v>
      </c>
      <c r="Y160" s="59">
        <f t="shared" si="965"/>
        <v>0</v>
      </c>
      <c r="Z160" s="59"/>
      <c r="AA160" s="59"/>
      <c r="AB160" s="59"/>
      <c r="AC160" s="59">
        <v>645</v>
      </c>
      <c r="AD160" s="59">
        <f t="shared" si="966"/>
        <v>3232.5956242627799</v>
      </c>
      <c r="AE160" s="59">
        <v>11336.540000000001</v>
      </c>
      <c r="AF160" s="62">
        <f t="shared" si="967"/>
        <v>0.69743199150559498</v>
      </c>
      <c r="AG160" s="62">
        <f t="shared" si="968"/>
        <v>3.2567284275345201</v>
      </c>
      <c r="AH160" s="62">
        <f t="shared" si="981"/>
        <v>3.2567284275345201</v>
      </c>
      <c r="AI160" s="59">
        <f t="shared" si="969"/>
        <v>970.75579500137906</v>
      </c>
      <c r="AJ160" s="59">
        <f t="shared" si="982"/>
        <v>22866</v>
      </c>
      <c r="AK160" s="59">
        <f t="shared" si="983"/>
        <v>16.267910681674699</v>
      </c>
      <c r="AL160" s="59">
        <v>4263.1999999999998</v>
      </c>
      <c r="AM160" s="59">
        <v>10</v>
      </c>
      <c r="AN160" s="62">
        <v>0.27815040650406497</v>
      </c>
      <c r="AO160" s="59">
        <f t="shared" si="970"/>
        <v>480.17914680755302</v>
      </c>
      <c r="AP160" s="59">
        <v>3000</v>
      </c>
      <c r="AQ160" s="59"/>
      <c r="AR160" s="59">
        <v>23693</v>
      </c>
      <c r="AS160" s="59">
        <f t="shared" si="971"/>
        <v>324.54875080304998</v>
      </c>
      <c r="AT160" s="189">
        <v>0.45050000000000001</v>
      </c>
      <c r="AU160" s="59">
        <f t="shared" si="972"/>
        <v>327.10870755392398</v>
      </c>
      <c r="AV160" s="59"/>
      <c r="AW160" s="59"/>
      <c r="AX160" s="59"/>
      <c r="AY160" s="62">
        <v>79.170000000000002</v>
      </c>
      <c r="AZ160" s="62" t="s">
        <v>440</v>
      </c>
      <c r="BA160" s="59"/>
      <c r="BB160" s="59" t="s">
        <v>443</v>
      </c>
      <c r="BC160" s="59"/>
      <c r="BD160" s="62">
        <v>0.22536218287028401</v>
      </c>
      <c r="BE160" s="59">
        <f t="shared" si="973"/>
        <v>2.8244968202050398</v>
      </c>
      <c r="BF160" s="62" t="e">
        <f>VLOOKUP(B160,'2022年项目库建设情况'!B:O,14,0)</f>
        <v>#N/A</v>
      </c>
      <c r="BG160" s="59" t="e">
        <f t="shared" si="974"/>
        <v>#N/A</v>
      </c>
      <c r="BH160" s="53" t="e">
        <f>ROUND(AI160+AD160+#REF!+#REF!+BE160+BG160,0)</f>
        <v>#REF!</v>
      </c>
      <c r="BI160" s="59" t="e">
        <f t="shared" si="975"/>
        <v>#REF!</v>
      </c>
      <c r="BJ160" s="167" t="e">
        <f t="shared" si="976"/>
        <v>#REF!</v>
      </c>
      <c r="BK160" s="170">
        <f t="shared" si="977"/>
        <v>8338.0125212488892</v>
      </c>
      <c r="BL160" s="59">
        <v>14584</v>
      </c>
      <c r="BM160" s="59">
        <f t="shared" si="978"/>
        <v>13243.1696183236</v>
      </c>
      <c r="BN160" s="59">
        <f t="shared" si="979"/>
        <v>-4905.1570970746998</v>
      </c>
      <c r="BO160" s="43">
        <f t="shared" si="950"/>
        <v>-0.37039147261904698</v>
      </c>
    </row>
    <row r="161" ht="17" customHeight="1">
      <c r="A161" s="46">
        <v>108</v>
      </c>
      <c r="B161" s="82" t="s">
        <v>203</v>
      </c>
      <c r="C161" s="46" t="s">
        <v>90</v>
      </c>
      <c r="D161" s="46">
        <v>2018</v>
      </c>
      <c r="E161" s="46" t="s">
        <v>91</v>
      </c>
      <c r="F161" s="46" t="s">
        <v>146</v>
      </c>
      <c r="G161" s="73" t="e">
        <f>VLOOKUP(B:B,#REF!,2,0)</f>
        <v>#REF!</v>
      </c>
      <c r="H161" s="73" t="e">
        <f t="shared" si="962"/>
        <v>#REF!</v>
      </c>
      <c r="I161" s="59" t="e">
        <f>VLOOKUP(B161,#REF!,4,0)</f>
        <v>#REF!</v>
      </c>
      <c r="J161" s="59" t="e">
        <f>VLOOKUP(B161,#REF!,2,0)</f>
        <v>#REF!</v>
      </c>
      <c r="K161" s="73" t="e">
        <f t="shared" si="963"/>
        <v>#REF!</v>
      </c>
      <c r="L161" s="73" t="e">
        <f t="shared" si="964"/>
        <v>#REF!</v>
      </c>
      <c r="M161" s="59">
        <v>9848</v>
      </c>
      <c r="N161" s="59">
        <v>1010</v>
      </c>
      <c r="O161" s="73">
        <v>28783</v>
      </c>
      <c r="P161" s="59">
        <f t="shared" si="951"/>
        <v>17269.799999999999</v>
      </c>
      <c r="Q161" s="59">
        <f t="shared" si="952"/>
        <v>0</v>
      </c>
      <c r="R161" s="59">
        <f t="shared" si="953"/>
        <v>0</v>
      </c>
      <c r="S161" s="59">
        <f t="shared" si="954"/>
        <v>17269.799999999999</v>
      </c>
      <c r="T161" s="59">
        <f t="shared" si="955"/>
        <v>0</v>
      </c>
      <c r="U161" s="59">
        <f t="shared" si="956"/>
        <v>0</v>
      </c>
      <c r="V161" s="59">
        <v>6488</v>
      </c>
      <c r="W161" s="59">
        <f t="shared" si="980"/>
        <v>6488</v>
      </c>
      <c r="X161" s="59">
        <v>5025</v>
      </c>
      <c r="Y161" s="59">
        <f t="shared" si="965"/>
        <v>0</v>
      </c>
      <c r="Z161" s="59"/>
      <c r="AA161" s="59"/>
      <c r="AB161" s="59"/>
      <c r="AC161" s="59">
        <v>644</v>
      </c>
      <c r="AD161" s="59">
        <f t="shared" si="966"/>
        <v>2688.7923103131302</v>
      </c>
      <c r="AE161" s="59">
        <v>11587.969999999999</v>
      </c>
      <c r="AF161" s="62">
        <f t="shared" si="967"/>
        <v>0.65685926461428301</v>
      </c>
      <c r="AG161" s="62">
        <f t="shared" si="968"/>
        <v>2.3168083122210401</v>
      </c>
      <c r="AH161" s="62">
        <f t="shared" si="981"/>
        <v>2.3168083122210401</v>
      </c>
      <c r="AI161" s="59">
        <f t="shared" si="969"/>
        <v>690.58723963009697</v>
      </c>
      <c r="AJ161" s="59">
        <f t="shared" si="982"/>
        <v>17269.799999999999</v>
      </c>
      <c r="AK161" s="59">
        <f t="shared" si="983"/>
        <v>12.286519893745499</v>
      </c>
      <c r="AL161" s="59">
        <v>1368.1772000000001</v>
      </c>
      <c r="AM161" s="59">
        <v>6</v>
      </c>
      <c r="AN161" s="62">
        <v>0.85000734537975597</v>
      </c>
      <c r="AO161" s="59">
        <f t="shared" si="970"/>
        <v>154.102589739526</v>
      </c>
      <c r="AP161" s="59"/>
      <c r="AQ161" s="59"/>
      <c r="AR161" s="59">
        <v>10619</v>
      </c>
      <c r="AS161" s="59">
        <f t="shared" si="971"/>
        <v>145.45997487771001</v>
      </c>
      <c r="AT161" s="189">
        <v>0.32729999999999998</v>
      </c>
      <c r="AU161" s="59">
        <f t="shared" si="972"/>
        <v>237.65300773007601</v>
      </c>
      <c r="AV161" s="59"/>
      <c r="AW161" s="59"/>
      <c r="AX161" s="59"/>
      <c r="AY161" s="62">
        <v>70.819999999999993</v>
      </c>
      <c r="AZ161" s="62" t="s">
        <v>440</v>
      </c>
      <c r="BA161" s="59"/>
      <c r="BB161" s="59" t="s">
        <v>443</v>
      </c>
      <c r="BC161" s="59"/>
      <c r="BD161" s="62">
        <v>0.216640208437856</v>
      </c>
      <c r="BE161" s="59">
        <f t="shared" si="973"/>
        <v>2.7151830536425199</v>
      </c>
      <c r="BF161" s="62" t="e">
        <f>VLOOKUP(B161,'2022年项目库建设情况'!B:O,14,0)</f>
        <v>#N/A</v>
      </c>
      <c r="BG161" s="59" t="e">
        <f t="shared" si="974"/>
        <v>#N/A</v>
      </c>
      <c r="BH161" s="53" t="e">
        <f>ROUND(AI161+AD161+#REF!+#REF!+BE161+BG161,0)</f>
        <v>#REF!</v>
      </c>
      <c r="BI161" s="59" t="e">
        <f t="shared" si="975"/>
        <v>#REF!</v>
      </c>
      <c r="BJ161" s="167" t="e">
        <f t="shared" si="976"/>
        <v>#REF!</v>
      </c>
      <c r="BK161" s="170">
        <f t="shared" si="977"/>
        <v>3919.3103053441801</v>
      </c>
      <c r="BL161" s="59">
        <v>9848</v>
      </c>
      <c r="BM161" s="59">
        <f t="shared" si="978"/>
        <v>8942.5901262514199</v>
      </c>
      <c r="BN161" s="59">
        <f t="shared" si="979"/>
        <v>-5023.2798209072398</v>
      </c>
      <c r="BO161" s="43">
        <f t="shared" si="950"/>
        <v>-0.56172537821689394</v>
      </c>
    </row>
    <row r="162" ht="17" customHeight="1">
      <c r="A162" s="46">
        <v>109</v>
      </c>
      <c r="B162" s="82" t="s">
        <v>199</v>
      </c>
      <c r="C162" s="46" t="s">
        <v>78</v>
      </c>
      <c r="D162" s="46"/>
      <c r="E162" s="46"/>
      <c r="F162" s="46" t="s">
        <v>146</v>
      </c>
      <c r="G162" s="73" t="e">
        <f>VLOOKUP(B:B,#REF!,2,0)</f>
        <v>#REF!</v>
      </c>
      <c r="H162" s="73" t="e">
        <f t="shared" si="962"/>
        <v>#REF!</v>
      </c>
      <c r="I162" s="59" t="e">
        <f>VLOOKUP(B162,#REF!,4,0)</f>
        <v>#REF!</v>
      </c>
      <c r="J162" s="59" t="e">
        <f>VLOOKUP(B162,#REF!,2,0)</f>
        <v>#REF!</v>
      </c>
      <c r="K162" s="73" t="e">
        <f t="shared" si="963"/>
        <v>#REF!</v>
      </c>
      <c r="L162" s="73" t="e">
        <f t="shared" si="964"/>
        <v>#REF!</v>
      </c>
      <c r="M162" s="59">
        <v>9633</v>
      </c>
      <c r="N162" s="59">
        <v>3805</v>
      </c>
      <c r="O162" s="73">
        <v>13568</v>
      </c>
      <c r="P162" s="59">
        <f t="shared" si="951"/>
        <v>2713.5999999999999</v>
      </c>
      <c r="Q162" s="59">
        <f t="shared" si="952"/>
        <v>2713.5999999999999</v>
      </c>
      <c r="R162" s="59">
        <f t="shared" si="953"/>
        <v>0</v>
      </c>
      <c r="S162" s="59">
        <f t="shared" si="954"/>
        <v>0</v>
      </c>
      <c r="T162" s="59">
        <f t="shared" si="955"/>
        <v>0</v>
      </c>
      <c r="U162" s="59">
        <f t="shared" si="956"/>
        <v>0</v>
      </c>
      <c r="V162" s="59">
        <v>5006</v>
      </c>
      <c r="W162" s="59">
        <f>V162*0.2</f>
        <v>1001.2</v>
      </c>
      <c r="X162" s="59">
        <v>527</v>
      </c>
      <c r="Y162" s="59">
        <f t="shared" si="965"/>
        <v>0</v>
      </c>
      <c r="Z162" s="59"/>
      <c r="AA162" s="59"/>
      <c r="AB162" s="59"/>
      <c r="AC162" s="59">
        <v>2</v>
      </c>
      <c r="AD162" s="59">
        <f t="shared" si="966"/>
        <v>644.47092440818005</v>
      </c>
      <c r="AE162" s="59">
        <v>12888.75</v>
      </c>
      <c r="AF162" s="62">
        <f t="shared" si="967"/>
        <v>0.446955149410523</v>
      </c>
      <c r="AG162" s="62">
        <f t="shared" si="968"/>
        <v>0.83017449451510605</v>
      </c>
      <c r="AH162" s="62">
        <f>AG162*0.2</f>
        <v>0.16603489890302101</v>
      </c>
      <c r="AI162" s="59">
        <f t="shared" si="969"/>
        <v>49.491182291977402</v>
      </c>
      <c r="AJ162" s="59"/>
      <c r="AK162" s="59"/>
      <c r="AL162" s="59">
        <v>499.26560000000001</v>
      </c>
      <c r="AM162" s="59">
        <v>14</v>
      </c>
      <c r="AN162" s="62">
        <v>0.27486982734995902</v>
      </c>
      <c r="AO162" s="59">
        <f t="shared" si="970"/>
        <v>56.234033082745597</v>
      </c>
      <c r="AP162" s="59"/>
      <c r="AQ162" s="59"/>
      <c r="AR162" s="59">
        <v>6049</v>
      </c>
      <c r="AS162" s="59">
        <f t="shared" si="971"/>
        <v>82.859722011043402</v>
      </c>
      <c r="AT162" s="189">
        <v>0.15409999999999999</v>
      </c>
      <c r="AU162" s="59">
        <f t="shared" si="972"/>
        <v>111.89223492577101</v>
      </c>
      <c r="AV162" s="59"/>
      <c r="AW162" s="59"/>
      <c r="AX162" s="59"/>
      <c r="AY162" s="62">
        <v>82.379999999999995</v>
      </c>
      <c r="AZ162" s="62" t="s">
        <v>442</v>
      </c>
      <c r="BA162" s="59">
        <v>500</v>
      </c>
      <c r="BB162" s="59" t="s">
        <v>443</v>
      </c>
      <c r="BC162" s="59"/>
      <c r="BD162" s="62">
        <v>0.32452648065837297</v>
      </c>
      <c r="BE162" s="59">
        <f t="shared" si="973"/>
        <v>4.0673373013053702</v>
      </c>
      <c r="BF162" s="62" t="e">
        <f>VLOOKUP(B162,'2022年项目库建设情况'!B:O,14,0)</f>
        <v>#N/A</v>
      </c>
      <c r="BG162" s="59" t="e">
        <f t="shared" si="974"/>
        <v>#N/A</v>
      </c>
      <c r="BH162" s="53" t="e">
        <f>ROUND(AI162+AD162+#REF!+#REF!+BE162+BG162,0)</f>
        <v>#REF!</v>
      </c>
      <c r="BI162" s="59" t="e">
        <f t="shared" si="975"/>
        <v>#REF!</v>
      </c>
      <c r="BJ162" s="167" t="e">
        <f t="shared" si="976"/>
        <v>#REF!</v>
      </c>
      <c r="BK162" s="170">
        <f t="shared" si="977"/>
        <v>1449.0154340210199</v>
      </c>
      <c r="BL162" s="59">
        <v>9633</v>
      </c>
      <c r="BM162" s="59">
        <f t="shared" si="978"/>
        <v>8747.3568933976403</v>
      </c>
      <c r="BN162" s="59">
        <f t="shared" si="979"/>
        <v>-7298.3414593766202</v>
      </c>
      <c r="BO162" s="43">
        <f t="shared" si="950"/>
        <v>-0.83434819778364</v>
      </c>
    </row>
    <row r="163" s="64" customFormat="1" ht="17" customHeight="1">
      <c r="A163" s="65"/>
      <c r="B163" s="66" t="s">
        <v>204</v>
      </c>
      <c r="C163" s="67">
        <v>1</v>
      </c>
      <c r="D163" s="67"/>
      <c r="E163" s="67"/>
      <c r="F163" s="68"/>
      <c r="G163" s="69" t="e">
        <f t="shared" ref="G163:M163" si="984">G164+G165</f>
        <v>#REF!</v>
      </c>
      <c r="H163" s="69" t="e">
        <f t="shared" si="984"/>
        <v>#REF!</v>
      </c>
      <c r="I163" s="69" t="e">
        <f t="shared" si="984"/>
        <v>#REF!</v>
      </c>
      <c r="J163" s="69" t="e">
        <f t="shared" si="984"/>
        <v>#REF!</v>
      </c>
      <c r="K163" s="69" t="e">
        <f t="shared" si="984"/>
        <v>#REF!</v>
      </c>
      <c r="L163" s="69" t="e">
        <f t="shared" si="984"/>
        <v>#REF!</v>
      </c>
      <c r="M163" s="69">
        <f t="shared" si="984"/>
        <v>36859</v>
      </c>
      <c r="N163" s="69">
        <v>4733</v>
      </c>
      <c r="O163" s="69">
        <f t="shared" ref="O163:AD163" si="985">O164+O165</f>
        <v>163512</v>
      </c>
      <c r="P163" s="69">
        <f t="shared" si="985"/>
        <v>129400.2</v>
      </c>
      <c r="Q163" s="69">
        <f t="shared" si="985"/>
        <v>3447.5999999999999</v>
      </c>
      <c r="R163" s="69">
        <f t="shared" si="985"/>
        <v>5837.1999999999998</v>
      </c>
      <c r="S163" s="69">
        <f t="shared" si="985"/>
        <v>0</v>
      </c>
      <c r="T163" s="69">
        <f t="shared" si="985"/>
        <v>46262.400000000001</v>
      </c>
      <c r="U163" s="69">
        <f t="shared" si="985"/>
        <v>73853</v>
      </c>
      <c r="V163" s="69">
        <f t="shared" si="985"/>
        <v>29428</v>
      </c>
      <c r="W163" s="69">
        <f t="shared" si="985"/>
        <v>24207.599999999999</v>
      </c>
      <c r="X163" s="69">
        <f t="shared" si="985"/>
        <v>24965</v>
      </c>
      <c r="Y163" s="69">
        <f t="shared" si="985"/>
        <v>11772</v>
      </c>
      <c r="Z163" s="69">
        <f t="shared" si="985"/>
        <v>0</v>
      </c>
      <c r="AA163" s="69">
        <f t="shared" si="985"/>
        <v>11772</v>
      </c>
      <c r="AB163" s="69">
        <f t="shared" si="985"/>
        <v>0</v>
      </c>
      <c r="AC163" s="69">
        <f t="shared" si="985"/>
        <v>3900</v>
      </c>
      <c r="AD163" s="69">
        <f t="shared" si="985"/>
        <v>12716.573040425999</v>
      </c>
      <c r="AE163" s="69"/>
      <c r="AF163" s="69">
        <f t="shared" ref="AF163:AL163" si="986">AF164+AF165</f>
        <v>2.6559943327599398</v>
      </c>
      <c r="AG163" s="69">
        <f t="shared" si="986"/>
        <v>12.5165837584839</v>
      </c>
      <c r="AH163" s="69">
        <f t="shared" si="986"/>
        <v>10.898324912716101</v>
      </c>
      <c r="AI163" s="69">
        <f t="shared" si="986"/>
        <v>3248.5398461167501</v>
      </c>
      <c r="AJ163" s="69">
        <f t="shared" si="986"/>
        <v>120115.39999999999</v>
      </c>
      <c r="AK163" s="69">
        <f t="shared" si="986"/>
        <v>85.455549667350098</v>
      </c>
      <c r="AL163" s="69">
        <f t="shared" si="986"/>
        <v>19392.9797</v>
      </c>
      <c r="AM163" s="69">
        <v>124</v>
      </c>
      <c r="AN163" s="71">
        <v>4.0370225197581604</v>
      </c>
      <c r="AO163" s="69">
        <f t="shared" ref="AO163:BA163" si="987">AO164+AO165</f>
        <v>2184.299222744</v>
      </c>
      <c r="AP163" s="69">
        <f t="shared" si="987"/>
        <v>3000</v>
      </c>
      <c r="AQ163" s="69"/>
      <c r="AR163" s="69">
        <f t="shared" si="987"/>
        <v>85807</v>
      </c>
      <c r="AS163" s="69">
        <f t="shared" si="987"/>
        <v>1175.3916625229999</v>
      </c>
      <c r="AT163" s="69">
        <f t="shared" si="987"/>
        <v>1.8400000000000001</v>
      </c>
      <c r="AU163" s="69">
        <f t="shared" si="987"/>
        <v>1336.02668568084</v>
      </c>
      <c r="AV163" s="69">
        <f t="shared" si="987"/>
        <v>7</v>
      </c>
      <c r="AW163" s="69">
        <f t="shared" si="987"/>
        <v>7000</v>
      </c>
      <c r="AX163" s="69">
        <f t="shared" si="987"/>
        <v>4592</v>
      </c>
      <c r="AY163" s="69">
        <f t="shared" si="987"/>
        <v>394.33999999999997</v>
      </c>
      <c r="AZ163" s="69">
        <f t="shared" si="987"/>
        <v>0</v>
      </c>
      <c r="BA163" s="69">
        <f t="shared" si="987"/>
        <v>500</v>
      </c>
      <c r="BB163" s="69"/>
      <c r="BC163" s="69">
        <f t="shared" ref="BC163:BK163" si="988">BC164+BC165</f>
        <v>0</v>
      </c>
      <c r="BD163" s="71">
        <f t="shared" si="988"/>
        <v>179.05036821612799</v>
      </c>
      <c r="BE163" s="69">
        <f t="shared" si="988"/>
        <v>2244.0641515000202</v>
      </c>
      <c r="BF163" s="71" t="e">
        <f t="shared" si="988"/>
        <v>#N/A</v>
      </c>
      <c r="BG163" s="69" t="e">
        <f t="shared" si="988"/>
        <v>#N/A</v>
      </c>
      <c r="BH163" s="70" t="e">
        <f t="shared" si="988"/>
        <v>#REF!</v>
      </c>
      <c r="BI163" s="70" t="e">
        <f t="shared" si="988"/>
        <v>#REF!</v>
      </c>
      <c r="BJ163" s="183" t="e">
        <f t="shared" si="988"/>
        <v>#REF!</v>
      </c>
      <c r="BK163" s="184">
        <f t="shared" si="988"/>
        <v>37996.894608990602</v>
      </c>
      <c r="BL163" s="69">
        <v>36859</v>
      </c>
      <c r="BM163" s="184">
        <f>BM164+BM165</f>
        <v>33470.2406035237</v>
      </c>
      <c r="BN163" s="184">
        <f>BN164+BN165</f>
        <v>4526.6540054669604</v>
      </c>
      <c r="BO163" s="43">
        <f t="shared" si="950"/>
        <v>0.13524414297130599</v>
      </c>
      <c r="BP163" s="185"/>
    </row>
    <row r="164" s="5" customFormat="1" ht="17" customHeight="1">
      <c r="A164" s="44"/>
      <c r="B164" s="72" t="s">
        <v>205</v>
      </c>
      <c r="C164" s="46">
        <v>2</v>
      </c>
      <c r="D164" s="46"/>
      <c r="E164" s="46"/>
      <c r="F164" s="46"/>
      <c r="G164" s="73"/>
      <c r="H164" s="73"/>
      <c r="I164" s="73"/>
      <c r="J164" s="73"/>
      <c r="K164" s="73"/>
      <c r="L164" s="73"/>
      <c r="M164" s="73"/>
      <c r="N164" s="73"/>
      <c r="O164" s="73"/>
      <c r="P164" s="59">
        <f t="shared" ref="P164:P170" si="989">SUM(Q164:U164)</f>
        <v>0</v>
      </c>
      <c r="Q164" s="59">
        <f t="shared" ref="Q164:Q170" si="990">IF(D164="",O164*0.2,0)</f>
        <v>0</v>
      </c>
      <c r="R164" s="59">
        <f t="shared" ref="R164:R170" si="991">IF(D164=2017,O164*0.4,0)</f>
        <v>0</v>
      </c>
      <c r="S164" s="59">
        <f t="shared" ref="S164:S170" si="992">IF(D164=2018,O164*0.6,0)</f>
        <v>0</v>
      </c>
      <c r="T164" s="59">
        <f t="shared" ref="T164:T170" si="993">IF(D164=2019,O164*0.8,0)</f>
        <v>0</v>
      </c>
      <c r="U164" s="59">
        <f t="shared" ref="U164:U170" si="994">IF(D164=2020,O164*1,0)</f>
        <v>0</v>
      </c>
      <c r="V164" s="59"/>
      <c r="W164" s="59"/>
      <c r="X164" s="59"/>
      <c r="Y164" s="59">
        <f>T164*0.4+U164*0.6+V164*0.8+X164*1</f>
        <v>0</v>
      </c>
      <c r="Z164" s="59"/>
      <c r="AA164" s="59"/>
      <c r="AB164" s="59"/>
      <c r="AC164" s="59"/>
      <c r="AD164" s="59"/>
      <c r="AE164" s="59"/>
      <c r="AF164" s="62"/>
      <c r="AG164" s="62"/>
      <c r="AH164" s="62"/>
      <c r="AI164" s="59"/>
      <c r="AJ164" s="59"/>
      <c r="AK164" s="59"/>
      <c r="AL164" s="59"/>
      <c r="AM164" s="59"/>
      <c r="AN164" s="62"/>
      <c r="AO164" s="59"/>
      <c r="AP164" s="59"/>
      <c r="AQ164" s="59"/>
      <c r="AR164" s="59"/>
      <c r="AS164" s="59"/>
      <c r="AT164" s="59"/>
      <c r="AU164" s="59"/>
      <c r="AV164" s="59"/>
      <c r="AW164" s="59"/>
      <c r="AX164" s="59"/>
      <c r="AY164" s="62"/>
      <c r="AZ164" s="62"/>
      <c r="BA164" s="59"/>
      <c r="BB164" s="59"/>
      <c r="BC164" s="59"/>
      <c r="BD164" s="62"/>
      <c r="BE164" s="59"/>
      <c r="BF164" s="62"/>
      <c r="BG164" s="59"/>
      <c r="BH164" s="53"/>
      <c r="BI164" s="59"/>
      <c r="BJ164" s="182"/>
      <c r="BK164" s="170"/>
      <c r="BL164" s="73"/>
      <c r="BM164" s="170"/>
      <c r="BN164" s="50"/>
      <c r="BO164" s="43"/>
      <c r="BP164" s="4"/>
    </row>
    <row r="165" s="74" customFormat="1" ht="17" customHeight="1">
      <c r="A165" s="75"/>
      <c r="B165" s="76" t="s">
        <v>76</v>
      </c>
      <c r="C165" s="77">
        <v>3</v>
      </c>
      <c r="D165" s="77"/>
      <c r="E165" s="77"/>
      <c r="F165" s="78"/>
      <c r="G165" s="79" t="e">
        <f t="shared" ref="G165:M165" si="995">SUM(G166:G170)</f>
        <v>#REF!</v>
      </c>
      <c r="H165" s="79" t="e">
        <f t="shared" si="995"/>
        <v>#REF!</v>
      </c>
      <c r="I165" s="79" t="e">
        <f t="shared" si="995"/>
        <v>#REF!</v>
      </c>
      <c r="J165" s="79" t="e">
        <f t="shared" si="995"/>
        <v>#REF!</v>
      </c>
      <c r="K165" s="79" t="e">
        <f t="shared" si="995"/>
        <v>#REF!</v>
      </c>
      <c r="L165" s="79" t="e">
        <f t="shared" si="995"/>
        <v>#REF!</v>
      </c>
      <c r="M165" s="79">
        <f t="shared" si="995"/>
        <v>36859</v>
      </c>
      <c r="N165" s="79">
        <v>4733</v>
      </c>
      <c r="O165" s="79">
        <f t="shared" ref="O165:AD165" si="996">SUM(O166:O170)</f>
        <v>163512</v>
      </c>
      <c r="P165" s="79">
        <f t="shared" si="996"/>
        <v>129400.2</v>
      </c>
      <c r="Q165" s="79">
        <f t="shared" si="996"/>
        <v>3447.5999999999999</v>
      </c>
      <c r="R165" s="79">
        <f t="shared" si="996"/>
        <v>5837.1999999999998</v>
      </c>
      <c r="S165" s="79">
        <f t="shared" si="996"/>
        <v>0</v>
      </c>
      <c r="T165" s="79">
        <f t="shared" si="996"/>
        <v>46262.400000000001</v>
      </c>
      <c r="U165" s="79">
        <f t="shared" si="996"/>
        <v>73853</v>
      </c>
      <c r="V165" s="79">
        <f t="shared" si="996"/>
        <v>29428</v>
      </c>
      <c r="W165" s="79">
        <f t="shared" si="996"/>
        <v>24207.599999999999</v>
      </c>
      <c r="X165" s="79">
        <f t="shared" si="996"/>
        <v>24965</v>
      </c>
      <c r="Y165" s="79">
        <f t="shared" si="996"/>
        <v>11772</v>
      </c>
      <c r="Z165" s="79">
        <f t="shared" si="996"/>
        <v>0</v>
      </c>
      <c r="AA165" s="79">
        <f t="shared" si="996"/>
        <v>11772</v>
      </c>
      <c r="AB165" s="79">
        <f t="shared" si="996"/>
        <v>0</v>
      </c>
      <c r="AC165" s="79">
        <f t="shared" si="996"/>
        <v>3900</v>
      </c>
      <c r="AD165" s="79">
        <f t="shared" si="996"/>
        <v>12716.573040425999</v>
      </c>
      <c r="AE165" s="79"/>
      <c r="AF165" s="79">
        <f t="shared" ref="AF165:AL165" si="997">SUM(AF166:AF170)</f>
        <v>2.6559943327599398</v>
      </c>
      <c r="AG165" s="79">
        <f t="shared" si="997"/>
        <v>12.5165837584839</v>
      </c>
      <c r="AH165" s="79">
        <f t="shared" si="997"/>
        <v>10.898324912716101</v>
      </c>
      <c r="AI165" s="79">
        <f t="shared" si="997"/>
        <v>3248.5398461167501</v>
      </c>
      <c r="AJ165" s="79">
        <f t="shared" si="997"/>
        <v>120115.39999999999</v>
      </c>
      <c r="AK165" s="79">
        <f t="shared" si="997"/>
        <v>85.455549667350098</v>
      </c>
      <c r="AL165" s="79">
        <f t="shared" si="997"/>
        <v>19392.9797</v>
      </c>
      <c r="AM165" s="79">
        <v>124</v>
      </c>
      <c r="AN165" s="81">
        <v>4.0370225197581604</v>
      </c>
      <c r="AO165" s="79">
        <f t="shared" ref="AO165:BA165" si="998">SUM(AO166:AO170)</f>
        <v>2184.299222744</v>
      </c>
      <c r="AP165" s="79">
        <f t="shared" si="998"/>
        <v>3000</v>
      </c>
      <c r="AQ165" s="79"/>
      <c r="AR165" s="79">
        <f t="shared" si="998"/>
        <v>85807</v>
      </c>
      <c r="AS165" s="79">
        <f t="shared" si="998"/>
        <v>1175.3916625229999</v>
      </c>
      <c r="AT165" s="79">
        <f t="shared" si="998"/>
        <v>1.8400000000000001</v>
      </c>
      <c r="AU165" s="79">
        <f t="shared" si="998"/>
        <v>1336.02668568084</v>
      </c>
      <c r="AV165" s="79">
        <f t="shared" si="998"/>
        <v>7</v>
      </c>
      <c r="AW165" s="79">
        <f t="shared" si="998"/>
        <v>7000</v>
      </c>
      <c r="AX165" s="79">
        <f t="shared" si="998"/>
        <v>4592</v>
      </c>
      <c r="AY165" s="79">
        <f t="shared" si="998"/>
        <v>394.33999999999997</v>
      </c>
      <c r="AZ165" s="79">
        <f t="shared" si="998"/>
        <v>0</v>
      </c>
      <c r="BA165" s="79">
        <f t="shared" si="998"/>
        <v>500</v>
      </c>
      <c r="BB165" s="79"/>
      <c r="BC165" s="79">
        <f t="shared" ref="BC165:BK165" si="999">SUM(BC166:BC170)</f>
        <v>0</v>
      </c>
      <c r="BD165" s="81">
        <f t="shared" si="999"/>
        <v>179.05036821612799</v>
      </c>
      <c r="BE165" s="79">
        <f t="shared" si="999"/>
        <v>2244.0641515000202</v>
      </c>
      <c r="BF165" s="81" t="e">
        <f t="shared" si="999"/>
        <v>#N/A</v>
      </c>
      <c r="BG165" s="79" t="e">
        <f t="shared" si="999"/>
        <v>#N/A</v>
      </c>
      <c r="BH165" s="80" t="e">
        <f t="shared" si="999"/>
        <v>#REF!</v>
      </c>
      <c r="BI165" s="80" t="e">
        <f t="shared" si="999"/>
        <v>#REF!</v>
      </c>
      <c r="BJ165" s="186" t="e">
        <f t="shared" si="999"/>
        <v>#REF!</v>
      </c>
      <c r="BK165" s="187">
        <f t="shared" si="999"/>
        <v>37996.894608990602</v>
      </c>
      <c r="BL165" s="79">
        <v>36859</v>
      </c>
      <c r="BM165" s="187">
        <f>SUM(BM166:BM170)</f>
        <v>33470.2406035237</v>
      </c>
      <c r="BN165" s="187">
        <f>SUM(BN166:BN170)</f>
        <v>4526.6540054669604</v>
      </c>
      <c r="BO165" s="43">
        <f t="shared" si="950"/>
        <v>0.13524414297130599</v>
      </c>
      <c r="BP165" s="188"/>
    </row>
    <row r="166" ht="17" customHeight="1">
      <c r="A166" s="46">
        <v>110</v>
      </c>
      <c r="B166" s="82" t="s">
        <v>206</v>
      </c>
      <c r="C166" s="46" t="s">
        <v>78</v>
      </c>
      <c r="D166" s="46"/>
      <c r="E166" s="46"/>
      <c r="F166" s="46"/>
      <c r="G166" s="73" t="e">
        <f>VLOOKUP(B:B,#REF!,2,0)</f>
        <v>#REF!</v>
      </c>
      <c r="H166" s="73" t="e">
        <f t="shared" ref="H166:H170" si="1000">G166*299423/381298.76</f>
        <v>#REF!</v>
      </c>
      <c r="I166" s="59" t="e">
        <f>VLOOKUP(B166,#REF!,4,0)</f>
        <v>#REF!</v>
      </c>
      <c r="J166" s="59" t="e">
        <f>VLOOKUP(B166,#REF!,2,0)</f>
        <v>#REF!</v>
      </c>
      <c r="K166" s="73" t="e">
        <f t="shared" ref="K166:K170" si="1001">I166*1485211/1408452</f>
        <v>#REF!</v>
      </c>
      <c r="L166" s="73" t="e">
        <f t="shared" ref="L166:L170" si="1002">J166*1485211/1408452</f>
        <v>#REF!</v>
      </c>
      <c r="M166" s="59">
        <v>1257</v>
      </c>
      <c r="N166" s="59">
        <v>139</v>
      </c>
      <c r="O166" s="73">
        <v>1798</v>
      </c>
      <c r="P166" s="59">
        <f t="shared" si="989"/>
        <v>359.60000000000002</v>
      </c>
      <c r="Q166" s="59">
        <f t="shared" si="990"/>
        <v>359.60000000000002</v>
      </c>
      <c r="R166" s="59">
        <f t="shared" si="991"/>
        <v>0</v>
      </c>
      <c r="S166" s="59">
        <f t="shared" si="992"/>
        <v>0</v>
      </c>
      <c r="T166" s="59">
        <f t="shared" si="993"/>
        <v>0</v>
      </c>
      <c r="U166" s="59">
        <f t="shared" si="994"/>
        <v>0</v>
      </c>
      <c r="V166" s="59">
        <v>461</v>
      </c>
      <c r="W166" s="59">
        <f>V166*0.2</f>
        <v>92.200000000000003</v>
      </c>
      <c r="X166" s="59">
        <v>177</v>
      </c>
      <c r="Y166" s="59">
        <f t="shared" ref="Y166:Y170" si="1003">Z166+AA166+AB166*1.2</f>
        <v>0</v>
      </c>
      <c r="Z166" s="59"/>
      <c r="AA166" s="59"/>
      <c r="AB166" s="59"/>
      <c r="AC166" s="59">
        <v>36</v>
      </c>
      <c r="AD166" s="59">
        <f t="shared" ref="AD166:AD170" si="1004">O166/$O$9*202299+W166/$W$9*134866+AC166/$AC$9*34867+X166/$X$9*100000</f>
        <v>97.391084385144595</v>
      </c>
      <c r="AE166" s="59">
        <v>14488.950000000001</v>
      </c>
      <c r="AF166" s="62">
        <f t="shared" ref="AF166:AF170" si="1005">($AE$64-AE166)/($AE$64-$AE$44)</f>
        <v>0.18873426259718401</v>
      </c>
      <c r="AG166" s="62">
        <f t="shared" ref="AG166:AG170" si="1006">(O166+V166)*AF166/10000</f>
        <v>4.2635069920703803e-002</v>
      </c>
      <c r="AH166" s="62">
        <f>AG166*0.2</f>
        <v>8.5270139841407706e-003</v>
      </c>
      <c r="AI166" s="59">
        <f t="shared" ref="AI166:AI170" si="1007">AH166/$AH$9*1348663*0.1</f>
        <v>2.5417066308562202</v>
      </c>
      <c r="AJ166" s="59"/>
      <c r="AK166" s="59"/>
      <c r="AL166" s="59">
        <v>126.56999999999999</v>
      </c>
      <c r="AM166" s="59">
        <v>7</v>
      </c>
      <c r="AN166" s="62">
        <v>0.572265625</v>
      </c>
      <c r="AO166" s="59">
        <f t="shared" ref="AO166:AO170" si="1008">(AL166/$AL$9*80000)</f>
        <v>14.256022380238299</v>
      </c>
      <c r="AP166" s="59"/>
      <c r="AQ166" s="59"/>
      <c r="AR166" s="59">
        <v>1299</v>
      </c>
      <c r="AS166" s="59">
        <f t="shared" ref="AS166:AS170" si="1009">AR166/$AR$9*50000</f>
        <v>17.793813670415801</v>
      </c>
      <c r="AT166" s="189">
        <v>2.24e-002</v>
      </c>
      <c r="AU166" s="59">
        <f t="shared" ref="AU166:AU170" si="1010">AT166/$AT$9*50000</f>
        <v>16.2646726952451</v>
      </c>
      <c r="AV166" s="59">
        <v>1</v>
      </c>
      <c r="AW166" s="59">
        <f t="shared" ref="AW166:AW170" si="1011">AV166*1000</f>
        <v>1000</v>
      </c>
      <c r="AX166" s="59"/>
      <c r="AY166" s="62">
        <v>87.859999999999999</v>
      </c>
      <c r="AZ166" s="62" t="s">
        <v>442</v>
      </c>
      <c r="BA166" s="59">
        <v>500</v>
      </c>
      <c r="BB166" s="59" t="s">
        <v>443</v>
      </c>
      <c r="BC166" s="59"/>
      <c r="BD166" s="62">
        <v>33.5092347328874</v>
      </c>
      <c r="BE166" s="59">
        <f t="shared" ref="BE166:BE170" si="1012">BD166/$BD$9*42266</f>
        <v>419.97608358729099</v>
      </c>
      <c r="BF166" s="62" t="e">
        <f>VLOOKUP(B166,'2022年项目库建设情况'!B:O,14,0)</f>
        <v>#N/A</v>
      </c>
      <c r="BG166" s="59" t="e">
        <f t="shared" ref="BG166:BG170" si="1013">BF166/$BF$9*1348663*0.025</f>
        <v>#N/A</v>
      </c>
      <c r="BH166" s="53" t="e">
        <f>ROUND(AI166+AD166+#REF!+#REF!+BE166+BG166,0)</f>
        <v>#REF!</v>
      </c>
      <c r="BI166" s="59" t="e">
        <f t="shared" ref="BI166:BI170" si="1014">N166-G166</f>
        <v>#REF!</v>
      </c>
      <c r="BJ166" s="167" t="e">
        <f t="shared" ref="BJ166:BJ170" si="1015">BI166/G166</f>
        <v>#REF!</v>
      </c>
      <c r="BK166" s="170">
        <f t="shared" ref="BK166:BK170" si="1016">AD166+AI166+AO166+AP166+AS166+AU166+AW166+AX166+BA166+BC166+BE166</f>
        <v>2068.22338334919</v>
      </c>
      <c r="BL166" s="59">
        <v>1257</v>
      </c>
      <c r="BM166" s="59">
        <f t="shared" ref="BM166:BM170" si="1017">BL166/$BL$9*1348663</f>
        <v>1141.4333660335101</v>
      </c>
      <c r="BN166" s="59">
        <f t="shared" ref="BN166:BN170" si="1018">BK166-BM166</f>
        <v>926.79001731567803</v>
      </c>
      <c r="BO166" s="43">
        <f t="shared" si="950"/>
        <v>0.81195279978215296</v>
      </c>
    </row>
    <row r="167" ht="17" customHeight="1">
      <c r="A167" s="46">
        <v>111</v>
      </c>
      <c r="B167" s="82" t="s">
        <v>208</v>
      </c>
      <c r="C167" s="46" t="s">
        <v>90</v>
      </c>
      <c r="D167" s="46">
        <v>2019</v>
      </c>
      <c r="E167" s="46" t="s">
        <v>91</v>
      </c>
      <c r="F167" s="46"/>
      <c r="G167" s="73" t="e">
        <f>VLOOKUP(B:B,#REF!,2,0)</f>
        <v>#REF!</v>
      </c>
      <c r="H167" s="73" t="e">
        <f t="shared" si="1000"/>
        <v>#REF!</v>
      </c>
      <c r="I167" s="59" t="e">
        <f>VLOOKUP(B167,#REF!,4,0)</f>
        <v>#REF!</v>
      </c>
      <c r="J167" s="59" t="e">
        <f>VLOOKUP(B167,#REF!,2,0)</f>
        <v>#REF!</v>
      </c>
      <c r="K167" s="73" t="e">
        <f t="shared" si="1001"/>
        <v>#REF!</v>
      </c>
      <c r="L167" s="73" t="e">
        <f t="shared" si="1002"/>
        <v>#REF!</v>
      </c>
      <c r="M167" s="59">
        <v>9212</v>
      </c>
      <c r="N167" s="59">
        <v>1267</v>
      </c>
      <c r="O167" s="73">
        <v>57828</v>
      </c>
      <c r="P167" s="59">
        <f t="shared" si="989"/>
        <v>46262.400000000001</v>
      </c>
      <c r="Q167" s="59">
        <f t="shared" si="990"/>
        <v>0</v>
      </c>
      <c r="R167" s="59">
        <f t="shared" si="991"/>
        <v>0</v>
      </c>
      <c r="S167" s="59">
        <f t="shared" si="992"/>
        <v>0</v>
      </c>
      <c r="T167" s="59">
        <f t="shared" si="993"/>
        <v>46262.400000000001</v>
      </c>
      <c r="U167" s="59">
        <f t="shared" si="994"/>
        <v>0</v>
      </c>
      <c r="V167" s="59">
        <v>10560</v>
      </c>
      <c r="W167" s="59">
        <f>V167*1</f>
        <v>10560</v>
      </c>
      <c r="X167" s="59">
        <v>2624</v>
      </c>
      <c r="Y167" s="59">
        <f t="shared" si="1003"/>
        <v>0</v>
      </c>
      <c r="Z167" s="59"/>
      <c r="AA167" s="59"/>
      <c r="AB167" s="59"/>
      <c r="AC167" s="59">
        <v>912</v>
      </c>
      <c r="AD167" s="59">
        <f t="shared" si="1004"/>
        <v>4120.3748843102303</v>
      </c>
      <c r="AE167" s="59">
        <v>11086.49</v>
      </c>
      <c r="AF167" s="62">
        <f t="shared" si="1005"/>
        <v>0.73778203071798998</v>
      </c>
      <c r="AG167" s="62">
        <f t="shared" si="1006"/>
        <v>5.0455437516741899</v>
      </c>
      <c r="AH167" s="62">
        <f>AG167*1</f>
        <v>5.0455437516741899</v>
      </c>
      <c r="AI167" s="59">
        <f t="shared" si="1007"/>
        <v>1503.96047593649</v>
      </c>
      <c r="AJ167" s="59">
        <f>P167</f>
        <v>46262.400000000001</v>
      </c>
      <c r="AK167" s="59">
        <f>AJ167/$AJ$9*2859</f>
        <v>32.9131720073431</v>
      </c>
      <c r="AL167" s="59">
        <v>5934.8999999999996</v>
      </c>
      <c r="AM167" s="59">
        <v>40</v>
      </c>
      <c r="AN167" s="62">
        <v>1</v>
      </c>
      <c r="AO167" s="59">
        <f t="shared" si="1008"/>
        <v>668.46857252489895</v>
      </c>
      <c r="AP167" s="59"/>
      <c r="AQ167" s="59"/>
      <c r="AR167" s="59">
        <v>27145</v>
      </c>
      <c r="AS167" s="59">
        <f t="shared" si="1009"/>
        <v>371.834543559228</v>
      </c>
      <c r="AT167" s="189">
        <v>0.64690000000000003</v>
      </c>
      <c r="AU167" s="59">
        <f t="shared" si="1010"/>
        <v>469.715034221162</v>
      </c>
      <c r="AV167" s="59">
        <v>2</v>
      </c>
      <c r="AW167" s="59">
        <f t="shared" si="1011"/>
        <v>2000</v>
      </c>
      <c r="AX167" s="59"/>
      <c r="AY167" s="62">
        <v>73.650000000000006</v>
      </c>
      <c r="AZ167" s="62" t="s">
        <v>440</v>
      </c>
      <c r="BA167" s="59"/>
      <c r="BB167" s="59" t="s">
        <v>443</v>
      </c>
      <c r="BC167" s="59"/>
      <c r="BD167" s="62">
        <v>37.072177556840003</v>
      </c>
      <c r="BE167" s="59">
        <f t="shared" si="1012"/>
        <v>464.63096112110998</v>
      </c>
      <c r="BF167" s="62" t="e">
        <f>VLOOKUP(B167,'2022年项目库建设情况'!B:O,14,0)</f>
        <v>#N/A</v>
      </c>
      <c r="BG167" s="59" t="e">
        <f t="shared" si="1013"/>
        <v>#N/A</v>
      </c>
      <c r="BH167" s="53" t="e">
        <f>ROUND(AI167+AD167+#REF!+#REF!+BE167+BG167,0)</f>
        <v>#REF!</v>
      </c>
      <c r="BI167" s="59" t="e">
        <f t="shared" si="1014"/>
        <v>#REF!</v>
      </c>
      <c r="BJ167" s="167" t="e">
        <f t="shared" si="1015"/>
        <v>#REF!</v>
      </c>
      <c r="BK167" s="170">
        <f t="shared" si="1016"/>
        <v>9598.9844716731095</v>
      </c>
      <c r="BL167" s="59">
        <v>9212</v>
      </c>
      <c r="BM167" s="59">
        <f t="shared" si="1017"/>
        <v>8365.0629816234905</v>
      </c>
      <c r="BN167" s="59">
        <f t="shared" si="1018"/>
        <v>1233.9214900496299</v>
      </c>
      <c r="BO167" s="43">
        <f t="shared" si="950"/>
        <v>0.14750893002961599</v>
      </c>
    </row>
    <row r="168" ht="17" customHeight="1">
      <c r="A168" s="46">
        <v>112</v>
      </c>
      <c r="B168" s="82" t="s">
        <v>209</v>
      </c>
      <c r="C168" s="46" t="s">
        <v>78</v>
      </c>
      <c r="D168" s="46"/>
      <c r="E168" s="46"/>
      <c r="F168" s="46"/>
      <c r="G168" s="73" t="e">
        <f>VLOOKUP(B:B,#REF!,2,0)</f>
        <v>#REF!</v>
      </c>
      <c r="H168" s="73" t="e">
        <f t="shared" si="1000"/>
        <v>#REF!</v>
      </c>
      <c r="I168" s="59" t="e">
        <f>VLOOKUP(B168,#REF!,4,0)</f>
        <v>#REF!</v>
      </c>
      <c r="J168" s="59" t="e">
        <f>VLOOKUP(B168,#REF!,2,0)</f>
        <v>#REF!</v>
      </c>
      <c r="K168" s="73" t="e">
        <f t="shared" si="1001"/>
        <v>#REF!</v>
      </c>
      <c r="L168" s="73" t="e">
        <f t="shared" si="1002"/>
        <v>#REF!</v>
      </c>
      <c r="M168" s="59">
        <v>1938</v>
      </c>
      <c r="N168" s="59">
        <v>273</v>
      </c>
      <c r="O168" s="73">
        <v>15440</v>
      </c>
      <c r="P168" s="59">
        <f t="shared" si="989"/>
        <v>3088</v>
      </c>
      <c r="Q168" s="59">
        <f t="shared" si="990"/>
        <v>3088</v>
      </c>
      <c r="R168" s="59">
        <f t="shared" si="991"/>
        <v>0</v>
      </c>
      <c r="S168" s="59">
        <f t="shared" si="992"/>
        <v>0</v>
      </c>
      <c r="T168" s="59">
        <f t="shared" si="993"/>
        <v>0</v>
      </c>
      <c r="U168" s="59">
        <f t="shared" si="994"/>
        <v>0</v>
      </c>
      <c r="V168" s="59">
        <v>4362</v>
      </c>
      <c r="W168" s="59">
        <f>V168*0.2</f>
        <v>872.39999999999998</v>
      </c>
      <c r="X168" s="59">
        <v>744</v>
      </c>
      <c r="Y168" s="59">
        <f t="shared" si="1003"/>
        <v>0</v>
      </c>
      <c r="Z168" s="59"/>
      <c r="AA168" s="59"/>
      <c r="AB168" s="59"/>
      <c r="AC168" s="59">
        <v>438</v>
      </c>
      <c r="AD168" s="59">
        <f t="shared" si="1004"/>
        <v>803.26922465576797</v>
      </c>
      <c r="AE168" s="59">
        <v>10268.18</v>
      </c>
      <c r="AF168" s="62">
        <f t="shared" si="1005"/>
        <v>0.86983098327906005</v>
      </c>
      <c r="AG168" s="62">
        <f t="shared" si="1006"/>
        <v>1.72243931308919</v>
      </c>
      <c r="AH168" s="62">
        <f>AG168*0.2</f>
        <v>0.34448786261783898</v>
      </c>
      <c r="AI168" s="59">
        <f t="shared" si="1007"/>
        <v>102.683903919207</v>
      </c>
      <c r="AJ168" s="59"/>
      <c r="AK168" s="59"/>
      <c r="AL168" s="59">
        <v>4747.6700000000001</v>
      </c>
      <c r="AM168" s="59">
        <v>20</v>
      </c>
      <c r="AN168" s="62">
        <v>1.08572105138527</v>
      </c>
      <c r="AO168" s="59">
        <f t="shared" si="1008"/>
        <v>534.746699644356</v>
      </c>
      <c r="AP168" s="59"/>
      <c r="AQ168" s="59"/>
      <c r="AR168" s="59">
        <v>7376</v>
      </c>
      <c r="AS168" s="59">
        <f t="shared" si="1009"/>
        <v>101.03708208851999</v>
      </c>
      <c r="AT168" s="189">
        <v>0.18049999999999999</v>
      </c>
      <c r="AU168" s="59">
        <f t="shared" si="1010"/>
        <v>131.06131345945201</v>
      </c>
      <c r="AV168" s="59">
        <v>1</v>
      </c>
      <c r="AW168" s="59">
        <f t="shared" si="1011"/>
        <v>1000</v>
      </c>
      <c r="AX168" s="59"/>
      <c r="AY168" s="62">
        <v>76.019999999999996</v>
      </c>
      <c r="AZ168" s="62" t="s">
        <v>440</v>
      </c>
      <c r="BA168" s="59"/>
      <c r="BB168" s="59" t="s">
        <v>443</v>
      </c>
      <c r="BC168" s="59"/>
      <c r="BD168" s="62">
        <v>35.7638320497474</v>
      </c>
      <c r="BE168" s="59">
        <f t="shared" si="1012"/>
        <v>448.23327772344902</v>
      </c>
      <c r="BF168" s="62" t="e">
        <f>VLOOKUP(B168,'2022年项目库建设情况'!B:O,14,0)</f>
        <v>#N/A</v>
      </c>
      <c r="BG168" s="59" t="e">
        <f t="shared" si="1013"/>
        <v>#N/A</v>
      </c>
      <c r="BH168" s="53" t="e">
        <f>ROUND(AI168+AD168+#REF!+#REF!+BE168+BG168,0)</f>
        <v>#REF!</v>
      </c>
      <c r="BI168" s="59" t="e">
        <f t="shared" si="1014"/>
        <v>#REF!</v>
      </c>
      <c r="BJ168" s="167" t="e">
        <f t="shared" si="1015"/>
        <v>#REF!</v>
      </c>
      <c r="BK168" s="170">
        <f t="shared" si="1016"/>
        <v>3121.0315014907501</v>
      </c>
      <c r="BL168" s="59">
        <v>1938</v>
      </c>
      <c r="BM168" s="59">
        <f t="shared" si="1017"/>
        <v>1759.82328032852</v>
      </c>
      <c r="BN168" s="59">
        <f t="shared" si="1018"/>
        <v>1361.2082211622301</v>
      </c>
      <c r="BO168" s="43">
        <f t="shared" si="950"/>
        <v>0.77349142745067401</v>
      </c>
    </row>
    <row r="169" ht="17" customHeight="1">
      <c r="A169" s="46">
        <v>113</v>
      </c>
      <c r="B169" s="82" t="s">
        <v>210</v>
      </c>
      <c r="C169" s="46" t="s">
        <v>93</v>
      </c>
      <c r="D169" s="46">
        <v>2020</v>
      </c>
      <c r="E169" s="46" t="s">
        <v>94</v>
      </c>
      <c r="F169" s="46"/>
      <c r="G169" s="73" t="e">
        <f>VLOOKUP(B:B,#REF!,2,0)</f>
        <v>#REF!</v>
      </c>
      <c r="H169" s="73" t="e">
        <f t="shared" si="1000"/>
        <v>#REF!</v>
      </c>
      <c r="I169" s="59" t="e">
        <f>VLOOKUP(B169,#REF!,4,0)</f>
        <v>#REF!</v>
      </c>
      <c r="J169" s="59" t="e">
        <f>VLOOKUP(B169,#REF!,2,0)</f>
        <v>#REF!</v>
      </c>
      <c r="K169" s="73" t="e">
        <f t="shared" si="1001"/>
        <v>#REF!</v>
      </c>
      <c r="L169" s="73" t="e">
        <f t="shared" si="1002"/>
        <v>#REF!</v>
      </c>
      <c r="M169" s="59">
        <v>22380</v>
      </c>
      <c r="N169" s="59">
        <v>2777</v>
      </c>
      <c r="O169" s="73">
        <v>73853</v>
      </c>
      <c r="P169" s="59">
        <f t="shared" si="989"/>
        <v>73853</v>
      </c>
      <c r="Q169" s="59">
        <f t="shared" si="990"/>
        <v>0</v>
      </c>
      <c r="R169" s="59">
        <f t="shared" si="991"/>
        <v>0</v>
      </c>
      <c r="S169" s="59">
        <f t="shared" si="992"/>
        <v>0</v>
      </c>
      <c r="T169" s="59">
        <f t="shared" si="993"/>
        <v>0</v>
      </c>
      <c r="U169" s="59">
        <f t="shared" si="994"/>
        <v>73853</v>
      </c>
      <c r="V169" s="59">
        <v>11321</v>
      </c>
      <c r="W169" s="59">
        <f>V169*1</f>
        <v>11321</v>
      </c>
      <c r="X169" s="59">
        <v>20405</v>
      </c>
      <c r="Y169" s="59">
        <f t="shared" si="1003"/>
        <v>11772</v>
      </c>
      <c r="Z169" s="59"/>
      <c r="AA169" s="59">
        <v>11772</v>
      </c>
      <c r="AB169" s="59"/>
      <c r="AC169" s="59">
        <v>2101</v>
      </c>
      <c r="AD169" s="59">
        <f t="shared" si="1004"/>
        <v>6809.4248300974396</v>
      </c>
      <c r="AE169" s="59">
        <v>11807.09</v>
      </c>
      <c r="AF169" s="62">
        <f t="shared" si="1005"/>
        <v>0.62150033403151805</v>
      </c>
      <c r="AG169" s="62">
        <f t="shared" si="1006"/>
        <v>5.2935669450800598</v>
      </c>
      <c r="AH169" s="62">
        <f>AG169*1</f>
        <v>5.2935669450800598</v>
      </c>
      <c r="AI169" s="59">
        <f t="shared" si="1007"/>
        <v>1577.8904819688801</v>
      </c>
      <c r="AJ169" s="59">
        <f>P169</f>
        <v>73853</v>
      </c>
      <c r="AK169" s="59">
        <f>AJ169/$AJ$9*2859</f>
        <v>52.542377660006998</v>
      </c>
      <c r="AL169" s="59">
        <v>6466.2397000000001</v>
      </c>
      <c r="AM169" s="59">
        <v>38</v>
      </c>
      <c r="AN169" s="62">
        <v>0.529989094874591</v>
      </c>
      <c r="AO169" s="59">
        <f t="shared" si="1008"/>
        <v>728.31522382227695</v>
      </c>
      <c r="AP169" s="59">
        <v>3000</v>
      </c>
      <c r="AQ169" s="59"/>
      <c r="AR169" s="59">
        <v>42111</v>
      </c>
      <c r="AS169" s="59">
        <f t="shared" si="1009"/>
        <v>576.84009813308796</v>
      </c>
      <c r="AT169" s="189">
        <v>0.82230000000000003</v>
      </c>
      <c r="AU169" s="59">
        <f t="shared" si="1010"/>
        <v>597.07323023660797</v>
      </c>
      <c r="AV169" s="59">
        <v>2</v>
      </c>
      <c r="AW169" s="59">
        <f t="shared" si="1011"/>
        <v>2000</v>
      </c>
      <c r="AX169" s="59">
        <v>4592</v>
      </c>
      <c r="AY169" s="62">
        <v>78.310000000000002</v>
      </c>
      <c r="AZ169" s="62" t="s">
        <v>440</v>
      </c>
      <c r="BA169" s="59"/>
      <c r="BB169" s="59" t="s">
        <v>443</v>
      </c>
      <c r="BC169" s="59"/>
      <c r="BD169" s="62">
        <v>35.154595319337197</v>
      </c>
      <c r="BE169" s="59">
        <f t="shared" si="1012"/>
        <v>440.59762569932002</v>
      </c>
      <c r="BF169" s="62" t="e">
        <f>VLOOKUP(B169,'2022年项目库建设情况'!B:O,14,0)</f>
        <v>#N/A</v>
      </c>
      <c r="BG169" s="59" t="e">
        <f t="shared" si="1013"/>
        <v>#N/A</v>
      </c>
      <c r="BH169" s="53" t="e">
        <f>ROUND(AI169+AD169+#REF!+#REF!+BE169+BG169,0)</f>
        <v>#REF!</v>
      </c>
      <c r="BI169" s="59" t="e">
        <f t="shared" si="1014"/>
        <v>#REF!</v>
      </c>
      <c r="BJ169" s="167" t="e">
        <f t="shared" si="1015"/>
        <v>#REF!</v>
      </c>
      <c r="BK169" s="170">
        <f t="shared" si="1016"/>
        <v>20322.141489957601</v>
      </c>
      <c r="BL169" s="59">
        <v>22380</v>
      </c>
      <c r="BM169" s="59">
        <f t="shared" si="1017"/>
        <v>20322.417447756601</v>
      </c>
      <c r="BN169" s="59">
        <f t="shared" si="1018"/>
        <v>-0.27595779896728301</v>
      </c>
      <c r="BO169" s="43">
        <f t="shared" si="950"/>
        <v>-1.3578984866180199e-005</v>
      </c>
    </row>
    <row r="170" ht="17" customHeight="1">
      <c r="A170" s="46">
        <v>114</v>
      </c>
      <c r="B170" s="82" t="s">
        <v>207</v>
      </c>
      <c r="C170" s="46" t="s">
        <v>90</v>
      </c>
      <c r="D170" s="46">
        <v>2017</v>
      </c>
      <c r="E170" s="46"/>
      <c r="F170" s="46"/>
      <c r="G170" s="73" t="e">
        <f>VLOOKUP(B:B,#REF!,2,0)</f>
        <v>#REF!</v>
      </c>
      <c r="H170" s="73" t="e">
        <f t="shared" si="1000"/>
        <v>#REF!</v>
      </c>
      <c r="I170" s="59" t="e">
        <f>VLOOKUP(B170,#REF!,4,0)</f>
        <v>#REF!</v>
      </c>
      <c r="J170" s="59" t="e">
        <f>VLOOKUP(B170,#REF!,2,0)</f>
        <v>#REF!</v>
      </c>
      <c r="K170" s="73" t="e">
        <f t="shared" si="1001"/>
        <v>#REF!</v>
      </c>
      <c r="L170" s="73" t="e">
        <f t="shared" si="1002"/>
        <v>#REF!</v>
      </c>
      <c r="M170" s="59">
        <v>2072</v>
      </c>
      <c r="N170" s="59">
        <v>277</v>
      </c>
      <c r="O170" s="73">
        <v>14593</v>
      </c>
      <c r="P170" s="59">
        <f t="shared" si="989"/>
        <v>5837.1999999999998</v>
      </c>
      <c r="Q170" s="59">
        <f t="shared" si="990"/>
        <v>0</v>
      </c>
      <c r="R170" s="59">
        <f t="shared" si="991"/>
        <v>5837.1999999999998</v>
      </c>
      <c r="S170" s="59">
        <f t="shared" si="992"/>
        <v>0</v>
      </c>
      <c r="T170" s="59">
        <f t="shared" si="993"/>
        <v>0</v>
      </c>
      <c r="U170" s="59">
        <f t="shared" si="994"/>
        <v>0</v>
      </c>
      <c r="V170" s="59">
        <v>2724</v>
      </c>
      <c r="W170" s="59">
        <f>V170*0.5</f>
        <v>1362</v>
      </c>
      <c r="X170" s="59">
        <v>1015</v>
      </c>
      <c r="Y170" s="59">
        <f t="shared" si="1003"/>
        <v>0</v>
      </c>
      <c r="Z170" s="59"/>
      <c r="AA170" s="59"/>
      <c r="AB170" s="59"/>
      <c r="AC170" s="59">
        <v>413</v>
      </c>
      <c r="AD170" s="59">
        <f t="shared" si="1004"/>
        <v>886.11301697744204</v>
      </c>
      <c r="AE170" s="59">
        <v>14182.74</v>
      </c>
      <c r="AF170" s="62">
        <f t="shared" si="1005"/>
        <v>0.238146722134187</v>
      </c>
      <c r="AG170" s="62">
        <f t="shared" si="1006"/>
        <v>0.41239867871977198</v>
      </c>
      <c r="AH170" s="62">
        <f>AG170*0.5</f>
        <v>0.20619933935988599</v>
      </c>
      <c r="AI170" s="59">
        <f t="shared" si="1007"/>
        <v>61.463277661318998</v>
      </c>
      <c r="AJ170" s="59"/>
      <c r="AK170" s="59"/>
      <c r="AL170" s="59">
        <v>2117.5999999999999</v>
      </c>
      <c r="AM170" s="59">
        <v>19</v>
      </c>
      <c r="AN170" s="62">
        <v>0.84904674849830197</v>
      </c>
      <c r="AO170" s="59">
        <f t="shared" si="1008"/>
        <v>238.51270437222601</v>
      </c>
      <c r="AP170" s="59"/>
      <c r="AQ170" s="59"/>
      <c r="AR170" s="59">
        <v>7876</v>
      </c>
      <c r="AS170" s="59">
        <f t="shared" si="1009"/>
        <v>107.886125071744</v>
      </c>
      <c r="AT170" s="189">
        <v>0.16789999999999999</v>
      </c>
      <c r="AU170" s="59">
        <f t="shared" si="1010"/>
        <v>121.91243506837699</v>
      </c>
      <c r="AV170" s="59">
        <v>1</v>
      </c>
      <c r="AW170" s="59">
        <f t="shared" si="1011"/>
        <v>1000</v>
      </c>
      <c r="AX170" s="59"/>
      <c r="AY170" s="62">
        <v>78.5</v>
      </c>
      <c r="AZ170" s="62" t="s">
        <v>440</v>
      </c>
      <c r="BA170" s="59"/>
      <c r="BB170" s="59" t="s">
        <v>443</v>
      </c>
      <c r="BC170" s="59"/>
      <c r="BD170" s="62">
        <v>37.550528557316198</v>
      </c>
      <c r="BE170" s="59">
        <f t="shared" si="1012"/>
        <v>470.62620336884999</v>
      </c>
      <c r="BF170" s="62" t="e">
        <f>VLOOKUP(B170,'2022年项目库建设情况'!B:O,14,0)</f>
        <v>#N/A</v>
      </c>
      <c r="BG170" s="59" t="e">
        <f t="shared" si="1013"/>
        <v>#N/A</v>
      </c>
      <c r="BH170" s="53" t="e">
        <f>ROUND(AI170+AD170+#REF!+#REF!+BE170+BG170,0)</f>
        <v>#REF!</v>
      </c>
      <c r="BI170" s="59" t="e">
        <f t="shared" si="1014"/>
        <v>#REF!</v>
      </c>
      <c r="BJ170" s="167" t="e">
        <f t="shared" si="1015"/>
        <v>#REF!</v>
      </c>
      <c r="BK170" s="170">
        <f t="shared" si="1016"/>
        <v>2886.51376251996</v>
      </c>
      <c r="BL170" s="59">
        <v>2072</v>
      </c>
      <c r="BM170" s="59">
        <f t="shared" si="1017"/>
        <v>1881.50352778157</v>
      </c>
      <c r="BN170" s="59">
        <f t="shared" si="1018"/>
        <v>1005.0102347383799</v>
      </c>
      <c r="BO170" s="43">
        <f t="shared" si="950"/>
        <v>0.53415272408410597</v>
      </c>
    </row>
    <row r="171" s="64" customFormat="1" ht="17" customHeight="1">
      <c r="A171" s="65"/>
      <c r="B171" s="66" t="s">
        <v>211</v>
      </c>
      <c r="C171" s="67">
        <v>1</v>
      </c>
      <c r="D171" s="67"/>
      <c r="E171" s="67"/>
      <c r="F171" s="68"/>
      <c r="G171" s="69" t="e">
        <f t="shared" ref="G171:M171" si="1019">G172+G173</f>
        <v>#REF!</v>
      </c>
      <c r="H171" s="69" t="e">
        <f t="shared" si="1019"/>
        <v>#REF!</v>
      </c>
      <c r="I171" s="69" t="e">
        <f t="shared" si="1019"/>
        <v>#REF!</v>
      </c>
      <c r="J171" s="69" t="e">
        <f t="shared" si="1019"/>
        <v>#REF!</v>
      </c>
      <c r="K171" s="69" t="e">
        <f t="shared" si="1019"/>
        <v>#REF!</v>
      </c>
      <c r="L171" s="69" t="e">
        <f t="shared" si="1019"/>
        <v>#REF!</v>
      </c>
      <c r="M171" s="69">
        <f t="shared" si="1019"/>
        <v>151031</v>
      </c>
      <c r="N171" s="69">
        <v>32107</v>
      </c>
      <c r="O171" s="69">
        <f t="shared" ref="O171:AD171" si="1020">O172+O173</f>
        <v>229768</v>
      </c>
      <c r="P171" s="69">
        <f t="shared" si="1020"/>
        <v>226303.20000000001</v>
      </c>
      <c r="Q171" s="69">
        <f t="shared" si="1020"/>
        <v>0</v>
      </c>
      <c r="R171" s="69">
        <f t="shared" si="1020"/>
        <v>0</v>
      </c>
      <c r="S171" s="69">
        <f t="shared" si="1020"/>
        <v>0</v>
      </c>
      <c r="T171" s="69">
        <f t="shared" si="1020"/>
        <v>13859.200000000001</v>
      </c>
      <c r="U171" s="69">
        <f t="shared" si="1020"/>
        <v>212444</v>
      </c>
      <c r="V171" s="69">
        <f t="shared" si="1020"/>
        <v>41805</v>
      </c>
      <c r="W171" s="69">
        <f t="shared" si="1020"/>
        <v>41805</v>
      </c>
      <c r="X171" s="69">
        <f t="shared" si="1020"/>
        <v>95859</v>
      </c>
      <c r="Y171" s="69">
        <f t="shared" si="1020"/>
        <v>72682.199999999997</v>
      </c>
      <c r="Z171" s="69">
        <f t="shared" si="1020"/>
        <v>16578</v>
      </c>
      <c r="AA171" s="69">
        <f t="shared" si="1020"/>
        <v>52035</v>
      </c>
      <c r="AB171" s="69">
        <f t="shared" si="1020"/>
        <v>3391</v>
      </c>
      <c r="AC171" s="69">
        <f t="shared" si="1020"/>
        <v>2100</v>
      </c>
      <c r="AD171" s="69">
        <f t="shared" si="1020"/>
        <v>24560.656132853699</v>
      </c>
      <c r="AE171" s="69"/>
      <c r="AF171" s="69">
        <f t="shared" ref="AF171:AL171" si="1021">AF172+AF173</f>
        <v>2.3891096042936799</v>
      </c>
      <c r="AG171" s="69">
        <f t="shared" si="1021"/>
        <v>16.7246346656942</v>
      </c>
      <c r="AH171" s="69">
        <f t="shared" si="1021"/>
        <v>16.7246346656942</v>
      </c>
      <c r="AI171" s="69">
        <f t="shared" si="1021"/>
        <v>4985.2286987572097</v>
      </c>
      <c r="AJ171" s="69">
        <f t="shared" si="1021"/>
        <v>226303.20000000001</v>
      </c>
      <c r="AK171" s="69">
        <f t="shared" si="1021"/>
        <v>161.00237228099201</v>
      </c>
      <c r="AL171" s="69">
        <f t="shared" si="1021"/>
        <v>16172.68</v>
      </c>
      <c r="AM171" s="69">
        <v>68</v>
      </c>
      <c r="AN171" s="71">
        <v>2.3648402148676002</v>
      </c>
      <c r="AO171" s="69">
        <f t="shared" ref="AO171:BA171" si="1022">AO172+AO173</f>
        <v>1821.58558922677</v>
      </c>
      <c r="AP171" s="69">
        <f t="shared" si="1022"/>
        <v>0</v>
      </c>
      <c r="AQ171" s="69"/>
      <c r="AR171" s="69">
        <f t="shared" si="1022"/>
        <v>140312</v>
      </c>
      <c r="AS171" s="69">
        <f t="shared" si="1022"/>
        <v>1922.00583812424</v>
      </c>
      <c r="AT171" s="69">
        <f t="shared" si="1022"/>
        <v>2.5299999999999998</v>
      </c>
      <c r="AU171" s="69">
        <f t="shared" si="1022"/>
        <v>1837.03669281116</v>
      </c>
      <c r="AV171" s="69">
        <f t="shared" si="1022"/>
        <v>0</v>
      </c>
      <c r="AW171" s="69">
        <f t="shared" si="1022"/>
        <v>0</v>
      </c>
      <c r="AX171" s="69">
        <f t="shared" si="1022"/>
        <v>95335.477934351802</v>
      </c>
      <c r="AY171" s="69">
        <f t="shared" si="1022"/>
        <v>310.94999999999999</v>
      </c>
      <c r="AZ171" s="69">
        <f t="shared" si="1022"/>
        <v>0</v>
      </c>
      <c r="BA171" s="69">
        <f t="shared" si="1022"/>
        <v>800</v>
      </c>
      <c r="BB171" s="69"/>
      <c r="BC171" s="69">
        <f t="shared" ref="BC171:BK171" si="1023">BC172+BC173</f>
        <v>4000</v>
      </c>
      <c r="BD171" s="71">
        <f t="shared" si="1023"/>
        <v>150.277752080038</v>
      </c>
      <c r="BE171" s="69">
        <f t="shared" si="1023"/>
        <v>1883.4527935946701</v>
      </c>
      <c r="BF171" s="69" t="e">
        <f t="shared" si="1023"/>
        <v>#N/A</v>
      </c>
      <c r="BG171" s="69" t="e">
        <f t="shared" si="1023"/>
        <v>#N/A</v>
      </c>
      <c r="BH171" s="69" t="e">
        <f t="shared" si="1023"/>
        <v>#REF!</v>
      </c>
      <c r="BI171" s="69" t="e">
        <f t="shared" si="1023"/>
        <v>#REF!</v>
      </c>
      <c r="BJ171" s="69" t="e">
        <f t="shared" si="1023"/>
        <v>#REF!</v>
      </c>
      <c r="BK171" s="69">
        <f t="shared" si="1023"/>
        <v>137145.44367971999</v>
      </c>
      <c r="BL171" s="69">
        <v>151031</v>
      </c>
      <c r="BM171" s="184">
        <f>BM172+BM173</f>
        <v>137145.44367971999</v>
      </c>
      <c r="BN171" s="184">
        <f>BN172+BN173</f>
        <v>0</v>
      </c>
      <c r="BO171" s="43">
        <f t="shared" si="950"/>
        <v>0</v>
      </c>
      <c r="BP171" s="185"/>
    </row>
    <row r="172" s="5" customFormat="1" ht="17" customHeight="1">
      <c r="A172" s="44"/>
      <c r="B172" s="72" t="s">
        <v>212</v>
      </c>
      <c r="C172" s="46">
        <v>2</v>
      </c>
      <c r="D172" s="46"/>
      <c r="E172" s="46"/>
      <c r="F172" s="46"/>
      <c r="G172" s="73"/>
      <c r="H172" s="73"/>
      <c r="I172" s="73"/>
      <c r="J172" s="73"/>
      <c r="K172" s="73"/>
      <c r="L172" s="73"/>
      <c r="M172" s="73"/>
      <c r="N172" s="73"/>
      <c r="O172" s="73"/>
      <c r="P172" s="59">
        <f t="shared" ref="P172:P177" si="1024">SUM(Q172:U172)</f>
        <v>0</v>
      </c>
      <c r="Q172" s="59">
        <f t="shared" ref="Q172:Q177" si="1025">IF(D172="",O172*0.2,0)</f>
        <v>0</v>
      </c>
      <c r="R172" s="59">
        <f t="shared" ref="R172:R177" si="1026">IF(D172=2017,O172*0.4,0)</f>
        <v>0</v>
      </c>
      <c r="S172" s="59">
        <f t="shared" ref="S172:S177" si="1027">IF(D172=2018,O172*0.6,0)</f>
        <v>0</v>
      </c>
      <c r="T172" s="59">
        <f t="shared" ref="T172:T177" si="1028">IF(D172=2019,O172*0.8,0)</f>
        <v>0</v>
      </c>
      <c r="U172" s="59">
        <f t="shared" ref="U172:U177" si="1029">IF(D172=2020,O172*1,0)</f>
        <v>0</v>
      </c>
      <c r="V172" s="59"/>
      <c r="W172" s="59"/>
      <c r="X172" s="59"/>
      <c r="Y172" s="59">
        <f>T172*0.4+U172*0.6+V172*0.8+X172*1</f>
        <v>0</v>
      </c>
      <c r="Z172" s="59"/>
      <c r="AA172" s="59"/>
      <c r="AB172" s="59"/>
      <c r="AC172" s="59"/>
      <c r="AD172" s="59"/>
      <c r="AE172" s="59"/>
      <c r="AF172" s="62"/>
      <c r="AG172" s="62"/>
      <c r="AH172" s="62"/>
      <c r="AI172" s="59"/>
      <c r="AJ172" s="59"/>
      <c r="AK172" s="59"/>
      <c r="AL172" s="59"/>
      <c r="AM172" s="59"/>
      <c r="AN172" s="62"/>
      <c r="AO172" s="59"/>
      <c r="AP172" s="59"/>
      <c r="AQ172" s="59"/>
      <c r="AR172" s="59"/>
      <c r="AS172" s="59"/>
      <c r="AT172" s="59"/>
      <c r="AU172" s="59"/>
      <c r="AV172" s="59"/>
      <c r="AW172" s="59"/>
      <c r="AX172" s="59"/>
      <c r="AY172" s="62"/>
      <c r="AZ172" s="62"/>
      <c r="BA172" s="59"/>
      <c r="BB172" s="59"/>
      <c r="BC172" s="59"/>
      <c r="BD172" s="62"/>
      <c r="BE172" s="59"/>
      <c r="BF172" s="62"/>
      <c r="BG172" s="59"/>
      <c r="BH172" s="53"/>
      <c r="BI172" s="59"/>
      <c r="BJ172" s="182"/>
      <c r="BK172" s="170"/>
      <c r="BL172" s="73"/>
      <c r="BM172" s="170"/>
      <c r="BN172" s="50"/>
      <c r="BO172" s="43"/>
      <c r="BP172" s="4"/>
    </row>
    <row r="173" s="74" customFormat="1" ht="17" customHeight="1">
      <c r="A173" s="75"/>
      <c r="B173" s="76" t="s">
        <v>76</v>
      </c>
      <c r="C173" s="77">
        <v>3</v>
      </c>
      <c r="D173" s="77"/>
      <c r="E173" s="77"/>
      <c r="F173" s="78"/>
      <c r="G173" s="79" t="e">
        <f t="shared" ref="G173:M173" si="1030">SUM(G174:G177)</f>
        <v>#REF!</v>
      </c>
      <c r="H173" s="79" t="e">
        <f t="shared" si="1030"/>
        <v>#REF!</v>
      </c>
      <c r="I173" s="79" t="e">
        <f t="shared" si="1030"/>
        <v>#REF!</v>
      </c>
      <c r="J173" s="79" t="e">
        <f t="shared" si="1030"/>
        <v>#REF!</v>
      </c>
      <c r="K173" s="79" t="e">
        <f t="shared" si="1030"/>
        <v>#REF!</v>
      </c>
      <c r="L173" s="79" t="e">
        <f t="shared" si="1030"/>
        <v>#REF!</v>
      </c>
      <c r="M173" s="79">
        <f t="shared" si="1030"/>
        <v>151031</v>
      </c>
      <c r="N173" s="79">
        <v>32107</v>
      </c>
      <c r="O173" s="79">
        <f t="shared" ref="O173:AD173" si="1031">SUM(O174:O177)</f>
        <v>229768</v>
      </c>
      <c r="P173" s="79">
        <f t="shared" si="1031"/>
        <v>226303.20000000001</v>
      </c>
      <c r="Q173" s="79">
        <f t="shared" si="1031"/>
        <v>0</v>
      </c>
      <c r="R173" s="79">
        <f t="shared" si="1031"/>
        <v>0</v>
      </c>
      <c r="S173" s="79">
        <f t="shared" si="1031"/>
        <v>0</v>
      </c>
      <c r="T173" s="79">
        <f t="shared" si="1031"/>
        <v>13859.200000000001</v>
      </c>
      <c r="U173" s="79">
        <f t="shared" si="1031"/>
        <v>212444</v>
      </c>
      <c r="V173" s="79">
        <f t="shared" si="1031"/>
        <v>41805</v>
      </c>
      <c r="W173" s="79">
        <f t="shared" si="1031"/>
        <v>41805</v>
      </c>
      <c r="X173" s="79">
        <f t="shared" si="1031"/>
        <v>95859</v>
      </c>
      <c r="Y173" s="79">
        <f t="shared" si="1031"/>
        <v>72682.199999999997</v>
      </c>
      <c r="Z173" s="79">
        <f t="shared" si="1031"/>
        <v>16578</v>
      </c>
      <c r="AA173" s="79">
        <f t="shared" si="1031"/>
        <v>52035</v>
      </c>
      <c r="AB173" s="79">
        <f t="shared" si="1031"/>
        <v>3391</v>
      </c>
      <c r="AC173" s="79">
        <f t="shared" si="1031"/>
        <v>2100</v>
      </c>
      <c r="AD173" s="79">
        <f t="shared" si="1031"/>
        <v>24560.656132853699</v>
      </c>
      <c r="AE173" s="79"/>
      <c r="AF173" s="79">
        <f t="shared" ref="AF173:AL173" si="1032">SUM(AF174:AF177)</f>
        <v>2.3891096042936799</v>
      </c>
      <c r="AG173" s="79">
        <f t="shared" si="1032"/>
        <v>16.7246346656942</v>
      </c>
      <c r="AH173" s="79">
        <f t="shared" si="1032"/>
        <v>16.7246346656942</v>
      </c>
      <c r="AI173" s="79">
        <f t="shared" si="1032"/>
        <v>4985.2286987572097</v>
      </c>
      <c r="AJ173" s="79">
        <f t="shared" si="1032"/>
        <v>226303.20000000001</v>
      </c>
      <c r="AK173" s="79">
        <f t="shared" si="1032"/>
        <v>161.00237228099201</v>
      </c>
      <c r="AL173" s="79">
        <f t="shared" si="1032"/>
        <v>16172.68</v>
      </c>
      <c r="AM173" s="79">
        <v>68</v>
      </c>
      <c r="AN173" s="81">
        <v>2.3648402148676002</v>
      </c>
      <c r="AO173" s="79">
        <f t="shared" ref="AO173:BA173" si="1033">SUM(AO174:AO177)</f>
        <v>1821.58558922677</v>
      </c>
      <c r="AP173" s="79">
        <f t="shared" si="1033"/>
        <v>0</v>
      </c>
      <c r="AQ173" s="79"/>
      <c r="AR173" s="79">
        <f t="shared" si="1033"/>
        <v>140312</v>
      </c>
      <c r="AS173" s="79">
        <f t="shared" si="1033"/>
        <v>1922.00583812424</v>
      </c>
      <c r="AT173" s="79">
        <f t="shared" si="1033"/>
        <v>2.5299999999999998</v>
      </c>
      <c r="AU173" s="79">
        <f t="shared" si="1033"/>
        <v>1837.03669281116</v>
      </c>
      <c r="AV173" s="79">
        <f t="shared" si="1033"/>
        <v>0</v>
      </c>
      <c r="AW173" s="79">
        <f t="shared" si="1033"/>
        <v>0</v>
      </c>
      <c r="AX173" s="79">
        <f t="shared" si="1033"/>
        <v>95335.477934351802</v>
      </c>
      <c r="AY173" s="79">
        <f t="shared" si="1033"/>
        <v>310.94999999999999</v>
      </c>
      <c r="AZ173" s="79">
        <f t="shared" si="1033"/>
        <v>0</v>
      </c>
      <c r="BA173" s="79">
        <f t="shared" si="1033"/>
        <v>800</v>
      </c>
      <c r="BB173" s="79"/>
      <c r="BC173" s="79">
        <f t="shared" ref="BC173:BJ173" si="1034">SUM(BC174:BC177)</f>
        <v>4000</v>
      </c>
      <c r="BD173" s="81">
        <f t="shared" si="1034"/>
        <v>150.277752080038</v>
      </c>
      <c r="BE173" s="79">
        <f t="shared" si="1034"/>
        <v>1883.4527935946701</v>
      </c>
      <c r="BF173" s="81" t="e">
        <f t="shared" si="1034"/>
        <v>#N/A</v>
      </c>
      <c r="BG173" s="79" t="e">
        <f t="shared" si="1034"/>
        <v>#N/A</v>
      </c>
      <c r="BH173" s="79" t="e">
        <f t="shared" si="1034"/>
        <v>#REF!</v>
      </c>
      <c r="BI173" s="79" t="e">
        <f t="shared" si="1034"/>
        <v>#REF!</v>
      </c>
      <c r="BJ173" s="79" t="e">
        <f t="shared" si="1034"/>
        <v>#REF!</v>
      </c>
      <c r="BK173" s="187">
        <v>137145.44367971999</v>
      </c>
      <c r="BL173" s="79">
        <v>151031</v>
      </c>
      <c r="BM173" s="187">
        <f t="shared" ref="BM173:BQ173" si="1035">SUM(BM174:BM177)</f>
        <v>137145.44367971999</v>
      </c>
      <c r="BN173" s="187">
        <f t="shared" si="1035"/>
        <v>0</v>
      </c>
      <c r="BO173" s="43">
        <f t="shared" si="950"/>
        <v>0</v>
      </c>
      <c r="BP173" s="187">
        <f>SUM(BP174:BP177)</f>
        <v>41809.965745367801</v>
      </c>
      <c r="BQ173" s="187">
        <f t="shared" si="1035"/>
        <v>95335.477934351802</v>
      </c>
    </row>
    <row r="174" ht="17" customHeight="1">
      <c r="A174" s="46">
        <v>115</v>
      </c>
      <c r="B174" s="82" t="s">
        <v>216</v>
      </c>
      <c r="C174" s="46" t="s">
        <v>93</v>
      </c>
      <c r="D174" s="46">
        <v>2020</v>
      </c>
      <c r="E174" s="46" t="s">
        <v>94</v>
      </c>
      <c r="F174" s="46"/>
      <c r="G174" s="73" t="e">
        <f>VLOOKUP(B:B,#REF!,2,0)</f>
        <v>#REF!</v>
      </c>
      <c r="H174" s="73" t="e">
        <f t="shared" ref="H174:H177" si="1036">G174*299423/381298.76</f>
        <v>#REF!</v>
      </c>
      <c r="I174" s="59" t="e">
        <f>VLOOKUP(B174,#REF!,4,0)</f>
        <v>#REF!</v>
      </c>
      <c r="J174" s="59" t="e">
        <f>VLOOKUP(B174,#REF!,2,0)</f>
        <v>#REF!</v>
      </c>
      <c r="K174" s="73" t="e">
        <f t="shared" ref="K174:K177" si="1037">I174*1485211/1408452</f>
        <v>#REF!</v>
      </c>
      <c r="L174" s="73" t="e">
        <f t="shared" ref="L174:L177" si="1038">J174*1485211/1408452</f>
        <v>#REF!</v>
      </c>
      <c r="M174" s="59">
        <v>45850</v>
      </c>
      <c r="N174" s="59">
        <v>4735</v>
      </c>
      <c r="O174" s="73">
        <f>88228-1522</f>
        <v>86706</v>
      </c>
      <c r="P174" s="59">
        <f t="shared" si="1024"/>
        <v>86706</v>
      </c>
      <c r="Q174" s="59">
        <f t="shared" si="1025"/>
        <v>0</v>
      </c>
      <c r="R174" s="59">
        <f t="shared" si="1026"/>
        <v>0</v>
      </c>
      <c r="S174" s="59">
        <f t="shared" si="1027"/>
        <v>0</v>
      </c>
      <c r="T174" s="59">
        <f t="shared" si="1028"/>
        <v>0</v>
      </c>
      <c r="U174" s="59">
        <f t="shared" si="1029"/>
        <v>86706</v>
      </c>
      <c r="V174" s="59">
        <v>17288</v>
      </c>
      <c r="W174" s="59">
        <f t="shared" ref="W174:W177" si="1039">V174*1</f>
        <v>17288</v>
      </c>
      <c r="X174" s="59">
        <v>39927</v>
      </c>
      <c r="Y174" s="59">
        <f t="shared" ref="Y174:Y177" si="1040">Z174+AA174+AB174*1.2</f>
        <v>34013</v>
      </c>
      <c r="Z174" s="59">
        <v>5324</v>
      </c>
      <c r="AA174" s="59">
        <v>28689</v>
      </c>
      <c r="AB174" s="59"/>
      <c r="AC174" s="59">
        <v>1120</v>
      </c>
      <c r="AD174" s="59">
        <f t="shared" ref="AD174:AD177" si="1041">O174/$O$9*202299+W174/$W$9*134866+AC174/$AC$9*34867+X174/$X$9*100000</f>
        <v>9992.1753626221907</v>
      </c>
      <c r="AE174" s="59">
        <v>11496.65</v>
      </c>
      <c r="AF174" s="62">
        <f t="shared" ref="AF174:AF177" si="1042">($AE$64-AE174)/($AE$64-$AE$44)</f>
        <v>0.67159537971476602</v>
      </c>
      <c r="AG174" s="62">
        <f t="shared" ref="AG174:AG177" si="1043">(O174+V174)*AF174/10000</f>
        <v>6.9841889918057403</v>
      </c>
      <c r="AH174" s="62">
        <f t="shared" ref="AH174:AH177" si="1044">AG174*1</f>
        <v>6.9841889918057403</v>
      </c>
      <c r="AI174" s="59">
        <f t="shared" ref="AI174:AI177" si="1045">AH174/$AH$9*1348663*0.1</f>
        <v>2081.8260066937601</v>
      </c>
      <c r="AJ174" s="59">
        <f t="shared" ref="AJ174:AJ177" si="1046">P174</f>
        <v>86706</v>
      </c>
      <c r="AK174" s="59">
        <f t="shared" ref="AK174:AK177" si="1047">AJ174/$AJ$9*2859</f>
        <v>61.686585479108103</v>
      </c>
      <c r="AL174" s="59">
        <v>4460.1999999999998</v>
      </c>
      <c r="AM174" s="59">
        <v>12</v>
      </c>
      <c r="AN174" s="62">
        <v>0.37787297141444898</v>
      </c>
      <c r="AO174" s="59">
        <f t="shared" ref="AO174:AO177" si="1048">(AL174/$AL$9*80000)</f>
        <v>502.36794675151299</v>
      </c>
      <c r="AP174" s="59"/>
      <c r="AQ174" s="59"/>
      <c r="AR174" s="59">
        <v>53868</v>
      </c>
      <c r="AS174" s="59">
        <f t="shared" ref="AS174:AS177" si="1049">AR174/$AR$9*50000</f>
        <v>737.88849484061598</v>
      </c>
      <c r="AT174" s="189">
        <v>0.95999999999999996</v>
      </c>
      <c r="AU174" s="59">
        <f t="shared" ref="AU174:AU177" si="1050">AT174/$AT$9*50000</f>
        <v>697.05740122478801</v>
      </c>
      <c r="AV174" s="59"/>
      <c r="AW174" s="59"/>
      <c r="AX174" s="59">
        <v>25360.299549638999</v>
      </c>
      <c r="AY174" s="62">
        <v>80.799999999999997</v>
      </c>
      <c r="AZ174" s="62" t="s">
        <v>442</v>
      </c>
      <c r="BA174" s="59">
        <v>800</v>
      </c>
      <c r="BB174" s="59" t="s">
        <v>441</v>
      </c>
      <c r="BC174" s="59">
        <v>1000</v>
      </c>
      <c r="BD174" s="62">
        <v>36.942621891178497</v>
      </c>
      <c r="BE174" s="59">
        <f t="shared" ref="BE174:BE177" si="1051">BD174/$BD$9*42266</f>
        <v>463.00722123254502</v>
      </c>
      <c r="BF174" s="62" t="e">
        <f>VLOOKUP(B174,'2022年项目库建设情况'!B:O,14,0)</f>
        <v>#N/A</v>
      </c>
      <c r="BG174" s="59" t="e">
        <f t="shared" ref="BG174:BG177" si="1052">BF174/$BF$9*1348663*0.025</f>
        <v>#N/A</v>
      </c>
      <c r="BH174" s="53" t="e">
        <f>ROUND(AI174+AD174+#REF!+#REF!+BE174+BG174,0)</f>
        <v>#REF!</v>
      </c>
      <c r="BI174" s="59" t="e">
        <f t="shared" ref="BI174:BI177" si="1053">N174-G174</f>
        <v>#REF!</v>
      </c>
      <c r="BJ174" s="167" t="e">
        <f t="shared" ref="BJ174:BJ177" si="1054">BI174/G174</f>
        <v>#REF!</v>
      </c>
      <c r="BK174" s="170">
        <v>41634.621983004399</v>
      </c>
      <c r="BL174" s="59">
        <v>45850</v>
      </c>
      <c r="BM174" s="59">
        <f t="shared" ref="BM174:BM177" si="1055">BL174/$BL$9*1348663</f>
        <v>41634.621983004399</v>
      </c>
      <c r="BN174" s="59">
        <f t="shared" ref="BN174:BN177" si="1056">BK174-BM174</f>
        <v>0</v>
      </c>
      <c r="BO174" s="43">
        <f t="shared" si="950"/>
        <v>0</v>
      </c>
      <c r="BP174" s="50">
        <f t="shared" ref="BP174:BP183" si="1057">AD174+AI174+AO174+AP174+AS174+AU174+AW174+BA174+BC174+BE174</f>
        <v>16274.3224333654</v>
      </c>
      <c r="BQ174" s="170">
        <f t="shared" ref="BQ174:BQ177" si="1058">BM174-BP174</f>
        <v>25360.299549638999</v>
      </c>
    </row>
    <row r="175" ht="17" customHeight="1">
      <c r="A175" s="46">
        <v>116</v>
      </c>
      <c r="B175" s="82" t="s">
        <v>214</v>
      </c>
      <c r="C175" s="46" t="s">
        <v>93</v>
      </c>
      <c r="D175" s="46">
        <v>2020</v>
      </c>
      <c r="E175" s="46" t="s">
        <v>94</v>
      </c>
      <c r="F175" s="46" t="s">
        <v>146</v>
      </c>
      <c r="G175" s="73" t="e">
        <f>VLOOKUP(B:B,#REF!,2,0)</f>
        <v>#REF!</v>
      </c>
      <c r="H175" s="73" t="e">
        <f t="shared" si="1036"/>
        <v>#REF!</v>
      </c>
      <c r="I175" s="59" t="e">
        <f>VLOOKUP(B175,#REF!,4,0)</f>
        <v>#REF!</v>
      </c>
      <c r="J175" s="59" t="e">
        <f>VLOOKUP(B175,#REF!,2,0)</f>
        <v>#REF!</v>
      </c>
      <c r="K175" s="73" t="e">
        <f t="shared" si="1037"/>
        <v>#REF!</v>
      </c>
      <c r="L175" s="73" t="e">
        <f t="shared" si="1038"/>
        <v>#REF!</v>
      </c>
      <c r="M175" s="59">
        <v>41283</v>
      </c>
      <c r="N175" s="59">
        <v>8036</v>
      </c>
      <c r="O175" s="73">
        <f>61052-1097</f>
        <v>59955</v>
      </c>
      <c r="P175" s="59">
        <f t="shared" si="1024"/>
        <v>59955</v>
      </c>
      <c r="Q175" s="59">
        <f t="shared" si="1025"/>
        <v>0</v>
      </c>
      <c r="R175" s="59">
        <f t="shared" si="1026"/>
        <v>0</v>
      </c>
      <c r="S175" s="59">
        <f t="shared" si="1027"/>
        <v>0</v>
      </c>
      <c r="T175" s="59">
        <f t="shared" si="1028"/>
        <v>0</v>
      </c>
      <c r="U175" s="59">
        <f t="shared" si="1029"/>
        <v>59955</v>
      </c>
      <c r="V175" s="59">
        <v>10721</v>
      </c>
      <c r="W175" s="59">
        <f t="shared" si="1039"/>
        <v>10721</v>
      </c>
      <c r="X175" s="59">
        <v>22500</v>
      </c>
      <c r="Y175" s="59">
        <f t="shared" si="1040"/>
        <v>13334</v>
      </c>
      <c r="Z175" s="59"/>
      <c r="AA175" s="59">
        <v>13334</v>
      </c>
      <c r="AB175" s="59"/>
      <c r="AC175" s="59">
        <v>49</v>
      </c>
      <c r="AD175" s="59">
        <f t="shared" si="1041"/>
        <v>6005.1184173673</v>
      </c>
      <c r="AE175" s="59">
        <v>11559.58</v>
      </c>
      <c r="AF175" s="62">
        <f t="shared" si="1042"/>
        <v>0.66144049882040101</v>
      </c>
      <c r="AG175" s="62">
        <f t="shared" si="1043"/>
        <v>4.6747968694630702</v>
      </c>
      <c r="AH175" s="62">
        <f t="shared" si="1044"/>
        <v>4.6747968694630702</v>
      </c>
      <c r="AI175" s="59">
        <f t="shared" si="1045"/>
        <v>1393.44936259272</v>
      </c>
      <c r="AJ175" s="59">
        <f t="shared" si="1046"/>
        <v>59955</v>
      </c>
      <c r="AK175" s="59">
        <f t="shared" si="1047"/>
        <v>42.6547093903527</v>
      </c>
      <c r="AL175" s="59">
        <v>2248.6300000000001</v>
      </c>
      <c r="AM175" s="59">
        <v>10</v>
      </c>
      <c r="AN175" s="62">
        <v>0.91904527559055105</v>
      </c>
      <c r="AO175" s="59">
        <f t="shared" si="1048"/>
        <v>253.271072172516</v>
      </c>
      <c r="AP175" s="59"/>
      <c r="AQ175" s="59"/>
      <c r="AR175" s="59">
        <v>37963</v>
      </c>
      <c r="AS175" s="59">
        <f t="shared" si="1049"/>
        <v>520.02043754426199</v>
      </c>
      <c r="AT175" s="189">
        <v>0.70999999999999996</v>
      </c>
      <c r="AU175" s="59">
        <f t="shared" si="1050"/>
        <v>515.53203632249904</v>
      </c>
      <c r="AV175" s="59"/>
      <c r="AW175" s="59"/>
      <c r="AX175" s="59">
        <v>27338.5069454554</v>
      </c>
      <c r="AY175" s="62">
        <v>77.469999999999999</v>
      </c>
      <c r="AZ175" s="62" t="s">
        <v>440</v>
      </c>
      <c r="BA175" s="59"/>
      <c r="BB175" s="59" t="s">
        <v>441</v>
      </c>
      <c r="BC175" s="59">
        <v>1000</v>
      </c>
      <c r="BD175" s="62">
        <v>36.830870198870301</v>
      </c>
      <c r="BE175" s="59">
        <f t="shared" si="1051"/>
        <v>461.60662111607098</v>
      </c>
      <c r="BF175" s="62" t="e">
        <f>VLOOKUP(B175,'2022年项目库建设情况'!B:O,14,0)</f>
        <v>#N/A</v>
      </c>
      <c r="BG175" s="59" t="e">
        <f t="shared" si="1052"/>
        <v>#N/A</v>
      </c>
      <c r="BH175" s="53" t="e">
        <f>ROUND(AI175+AD175+#REF!+#REF!+BE175+BG175,0)</f>
        <v>#REF!</v>
      </c>
      <c r="BI175" s="59" t="e">
        <f t="shared" si="1053"/>
        <v>#REF!</v>
      </c>
      <c r="BJ175" s="167" t="e">
        <f t="shared" si="1054"/>
        <v>#REF!</v>
      </c>
      <c r="BK175" s="170">
        <v>37487.504892570803</v>
      </c>
      <c r="BL175" s="59">
        <v>41283</v>
      </c>
      <c r="BM175" s="59">
        <f t="shared" si="1055"/>
        <v>37487.504892570803</v>
      </c>
      <c r="BN175" s="59">
        <f t="shared" si="1056"/>
        <v>0</v>
      </c>
      <c r="BO175" s="43">
        <f t="shared" si="950"/>
        <v>0</v>
      </c>
      <c r="BP175" s="50">
        <f t="shared" si="1057"/>
        <v>10148.9979471154</v>
      </c>
      <c r="BQ175" s="170">
        <f t="shared" si="1058"/>
        <v>27338.5069454554</v>
      </c>
    </row>
    <row r="176" ht="17" customHeight="1">
      <c r="A176" s="46">
        <v>117</v>
      </c>
      <c r="B176" s="82" t="s">
        <v>215</v>
      </c>
      <c r="C176" s="46" t="s">
        <v>93</v>
      </c>
      <c r="D176" s="46">
        <v>2019</v>
      </c>
      <c r="E176" s="46" t="s">
        <v>94</v>
      </c>
      <c r="F176" s="46" t="s">
        <v>146</v>
      </c>
      <c r="G176" s="73" t="e">
        <f>VLOOKUP(B:B,#REF!,2,0)</f>
        <v>#REF!</v>
      </c>
      <c r="H176" s="73" t="e">
        <f t="shared" si="1036"/>
        <v>#REF!</v>
      </c>
      <c r="I176" s="59" t="e">
        <f>VLOOKUP(B176,#REF!,4,0)</f>
        <v>#REF!</v>
      </c>
      <c r="J176" s="59" t="e">
        <f>VLOOKUP(B176,#REF!,2,0)</f>
        <v>#REF!</v>
      </c>
      <c r="K176" s="73" t="e">
        <f t="shared" si="1037"/>
        <v>#REF!</v>
      </c>
      <c r="L176" s="73" t="e">
        <f t="shared" si="1038"/>
        <v>#REF!</v>
      </c>
      <c r="M176" s="59">
        <v>24171</v>
      </c>
      <c r="N176" s="59">
        <v>5268</v>
      </c>
      <c r="O176" s="73">
        <f>17329-5</f>
        <v>17324</v>
      </c>
      <c r="P176" s="59">
        <f t="shared" si="1024"/>
        <v>13859.200000000001</v>
      </c>
      <c r="Q176" s="59">
        <f t="shared" si="1025"/>
        <v>0</v>
      </c>
      <c r="R176" s="59">
        <f t="shared" si="1026"/>
        <v>0</v>
      </c>
      <c r="S176" s="59">
        <f t="shared" si="1027"/>
        <v>0</v>
      </c>
      <c r="T176" s="59">
        <f t="shared" si="1028"/>
        <v>13859.200000000001</v>
      </c>
      <c r="U176" s="59">
        <f t="shared" si="1029"/>
        <v>0</v>
      </c>
      <c r="V176" s="59">
        <v>2630</v>
      </c>
      <c r="W176" s="59">
        <f t="shared" si="1039"/>
        <v>2630</v>
      </c>
      <c r="X176" s="59">
        <v>4119</v>
      </c>
      <c r="Y176" s="59">
        <f t="shared" si="1040"/>
        <v>0</v>
      </c>
      <c r="Z176" s="59"/>
      <c r="AA176" s="59"/>
      <c r="AB176" s="59"/>
      <c r="AC176" s="59">
        <v>208</v>
      </c>
      <c r="AD176" s="59">
        <f t="shared" si="1041"/>
        <v>1458.41055915988</v>
      </c>
      <c r="AE176" s="59">
        <v>12330.629999999999</v>
      </c>
      <c r="AF176" s="62">
        <f t="shared" si="1042"/>
        <v>0.53701779242281</v>
      </c>
      <c r="AG176" s="62">
        <f t="shared" si="1043"/>
        <v>1.0715653030004699</v>
      </c>
      <c r="AH176" s="62">
        <f t="shared" si="1044"/>
        <v>1.0715653030004699</v>
      </c>
      <c r="AI176" s="59">
        <f t="shared" si="1045"/>
        <v>319.40895618294297</v>
      </c>
      <c r="AJ176" s="59">
        <f t="shared" si="1046"/>
        <v>13859.200000000001</v>
      </c>
      <c r="AK176" s="59">
        <f t="shared" si="1047"/>
        <v>9.8600641878538404</v>
      </c>
      <c r="AL176" s="59">
        <v>1510.4000000000001</v>
      </c>
      <c r="AM176" s="59">
        <v>4</v>
      </c>
      <c r="AN176" s="62">
        <v>0.13165942378883</v>
      </c>
      <c r="AO176" s="59">
        <f t="shared" si="1048"/>
        <v>170.12164180383999</v>
      </c>
      <c r="AP176" s="59"/>
      <c r="AQ176" s="59"/>
      <c r="AR176" s="59">
        <v>8711</v>
      </c>
      <c r="AS176" s="59">
        <f t="shared" si="1049"/>
        <v>119.324026853728</v>
      </c>
      <c r="AT176" s="189">
        <v>0.17000000000000001</v>
      </c>
      <c r="AU176" s="59">
        <f t="shared" si="1050"/>
        <v>123.437248133556</v>
      </c>
      <c r="AV176" s="59"/>
      <c r="AW176" s="59"/>
      <c r="AX176" s="59">
        <v>18253.226871139999</v>
      </c>
      <c r="AY176" s="62">
        <v>76.709999999999994</v>
      </c>
      <c r="AZ176" s="62" t="s">
        <v>440</v>
      </c>
      <c r="BA176" s="59"/>
      <c r="BB176" s="59" t="s">
        <v>441</v>
      </c>
      <c r="BC176" s="59">
        <v>1000</v>
      </c>
      <c r="BD176" s="62">
        <v>40.279306929883901</v>
      </c>
      <c r="BE176" s="59">
        <f t="shared" si="1051"/>
        <v>504.82637723208501</v>
      </c>
      <c r="BF176" s="62" t="e">
        <f>VLOOKUP(B176,'2022年项目库建设情况'!B:O,14,0)</f>
        <v>#N/A</v>
      </c>
      <c r="BG176" s="59" t="e">
        <f t="shared" si="1052"/>
        <v>#N/A</v>
      </c>
      <c r="BH176" s="53" t="e">
        <f>ROUND(AI176+AD176+#REF!+#REF!+BE176+BG176,0)</f>
        <v>#REF!</v>
      </c>
      <c r="BI176" s="59" t="e">
        <f t="shared" si="1053"/>
        <v>#REF!</v>
      </c>
      <c r="BJ176" s="167" t="e">
        <f t="shared" si="1054"/>
        <v>#REF!</v>
      </c>
      <c r="BK176" s="170">
        <v>21948.755680506001</v>
      </c>
      <c r="BL176" s="59">
        <v>24171</v>
      </c>
      <c r="BM176" s="59">
        <f t="shared" si="1055"/>
        <v>21948.755680506001</v>
      </c>
      <c r="BN176" s="59">
        <f t="shared" si="1056"/>
        <v>0</v>
      </c>
      <c r="BO176" s="43">
        <f t="shared" si="950"/>
        <v>0</v>
      </c>
      <c r="BP176" s="50">
        <f t="shared" si="1057"/>
        <v>3695.5288093660301</v>
      </c>
      <c r="BQ176" s="170">
        <f t="shared" si="1058"/>
        <v>18253.226871139999</v>
      </c>
    </row>
    <row r="177" ht="17" customHeight="1">
      <c r="A177" s="46">
        <v>118</v>
      </c>
      <c r="B177" s="82" t="s">
        <v>213</v>
      </c>
      <c r="C177" s="46" t="s">
        <v>93</v>
      </c>
      <c r="D177" s="46">
        <v>2020</v>
      </c>
      <c r="E177" s="46" t="s">
        <v>94</v>
      </c>
      <c r="F177" s="46" t="s">
        <v>146</v>
      </c>
      <c r="G177" s="73" t="e">
        <f>VLOOKUP(B:B,#REF!,2,0)</f>
        <v>#REF!</v>
      </c>
      <c r="H177" s="73" t="e">
        <f t="shared" si="1036"/>
        <v>#REF!</v>
      </c>
      <c r="I177" s="59" t="e">
        <f>VLOOKUP(B177,#REF!,4,0)</f>
        <v>#REF!</v>
      </c>
      <c r="J177" s="59" t="e">
        <f>VLOOKUP(B177,#REF!,2,0)</f>
        <v>#REF!</v>
      </c>
      <c r="K177" s="73" t="e">
        <f t="shared" si="1037"/>
        <v>#REF!</v>
      </c>
      <c r="L177" s="73" t="e">
        <f t="shared" si="1038"/>
        <v>#REF!</v>
      </c>
      <c r="M177" s="59">
        <v>39727</v>
      </c>
      <c r="N177" s="59">
        <v>14068</v>
      </c>
      <c r="O177" s="73">
        <f>63159+1097+1522+5</f>
        <v>65783</v>
      </c>
      <c r="P177" s="59">
        <f t="shared" si="1024"/>
        <v>65783</v>
      </c>
      <c r="Q177" s="59">
        <f t="shared" si="1025"/>
        <v>0</v>
      </c>
      <c r="R177" s="59">
        <f t="shared" si="1026"/>
        <v>0</v>
      </c>
      <c r="S177" s="59">
        <f t="shared" si="1027"/>
        <v>0</v>
      </c>
      <c r="T177" s="59">
        <f t="shared" si="1028"/>
        <v>0</v>
      </c>
      <c r="U177" s="59">
        <f t="shared" si="1029"/>
        <v>65783</v>
      </c>
      <c r="V177" s="59">
        <v>11166</v>
      </c>
      <c r="W177" s="59">
        <f t="shared" si="1039"/>
        <v>11166</v>
      </c>
      <c r="X177" s="59">
        <v>29313</v>
      </c>
      <c r="Y177" s="59">
        <f t="shared" si="1040"/>
        <v>25335.200000000001</v>
      </c>
      <c r="Z177" s="59">
        <v>11254</v>
      </c>
      <c r="AA177" s="59">
        <v>10012</v>
      </c>
      <c r="AB177" s="59">
        <v>3391</v>
      </c>
      <c r="AC177" s="59">
        <v>723</v>
      </c>
      <c r="AD177" s="59">
        <f t="shared" si="1041"/>
        <v>7104.9517937043302</v>
      </c>
      <c r="AE177" s="59">
        <v>12441.940000000001</v>
      </c>
      <c r="AF177" s="62">
        <f t="shared" si="1042"/>
        <v>0.51905593333569999</v>
      </c>
      <c r="AG177" s="62">
        <f t="shared" si="1043"/>
        <v>3.9940835014248801</v>
      </c>
      <c r="AH177" s="62">
        <f t="shared" si="1044"/>
        <v>3.9940835014248801</v>
      </c>
      <c r="AI177" s="59">
        <f t="shared" si="1045"/>
        <v>1190.54437328778</v>
      </c>
      <c r="AJ177" s="59">
        <f t="shared" si="1046"/>
        <v>65783</v>
      </c>
      <c r="AK177" s="59">
        <f t="shared" si="1047"/>
        <v>46.801013223677302</v>
      </c>
      <c r="AL177" s="59">
        <v>7953.4499999999998</v>
      </c>
      <c r="AM177" s="59">
        <v>42</v>
      </c>
      <c r="AN177" s="62">
        <v>0.93626254407377296</v>
      </c>
      <c r="AO177" s="59">
        <f t="shared" si="1048"/>
        <v>895.82492849890605</v>
      </c>
      <c r="AP177" s="59"/>
      <c r="AQ177" s="59"/>
      <c r="AR177" s="59">
        <v>39770</v>
      </c>
      <c r="AS177" s="59">
        <f t="shared" si="1049"/>
        <v>544.77287888563296</v>
      </c>
      <c r="AT177" s="189">
        <v>0.68999999999999995</v>
      </c>
      <c r="AU177" s="59">
        <f t="shared" si="1050"/>
        <v>501.01000713031601</v>
      </c>
      <c r="AV177" s="59"/>
      <c r="AW177" s="59"/>
      <c r="AX177" s="59">
        <v>24383.4445681174</v>
      </c>
      <c r="AY177" s="62">
        <v>75.969999999999999</v>
      </c>
      <c r="AZ177" s="62" t="s">
        <v>440</v>
      </c>
      <c r="BA177" s="59"/>
      <c r="BB177" s="59" t="s">
        <v>441</v>
      </c>
      <c r="BC177" s="59">
        <v>1000</v>
      </c>
      <c r="BD177" s="62">
        <v>36.2249530601052</v>
      </c>
      <c r="BE177" s="59">
        <f t="shared" si="1051"/>
        <v>454.01257401396703</v>
      </c>
      <c r="BF177" s="62" t="e">
        <f>VLOOKUP(B177,'2022年项目库建设情况'!B:O,14,0)</f>
        <v>#N/A</v>
      </c>
      <c r="BG177" s="59" t="e">
        <f t="shared" si="1052"/>
        <v>#N/A</v>
      </c>
      <c r="BH177" s="53" t="e">
        <f>ROUND(AI177+AD177+#REF!+#REF!+BE177+BG177,0)</f>
        <v>#REF!</v>
      </c>
      <c r="BI177" s="59" t="e">
        <f t="shared" si="1053"/>
        <v>#REF!</v>
      </c>
      <c r="BJ177" s="167" t="e">
        <f t="shared" si="1054"/>
        <v>#REF!</v>
      </c>
      <c r="BK177" s="170">
        <v>36074.561123638297</v>
      </c>
      <c r="BL177" s="59">
        <v>39727</v>
      </c>
      <c r="BM177" s="59">
        <f t="shared" si="1055"/>
        <v>36074.561123638297</v>
      </c>
      <c r="BN177" s="59">
        <f t="shared" si="1056"/>
        <v>0</v>
      </c>
      <c r="BO177" s="43">
        <f t="shared" si="950"/>
        <v>0</v>
      </c>
      <c r="BP177" s="50">
        <f t="shared" si="1057"/>
        <v>11691.116555520901</v>
      </c>
      <c r="BQ177" s="170">
        <f t="shared" si="1058"/>
        <v>24383.4445681174</v>
      </c>
    </row>
    <row r="178" s="64" customFormat="1" ht="17" customHeight="1">
      <c r="A178" s="65"/>
      <c r="B178" s="66" t="s">
        <v>217</v>
      </c>
      <c r="C178" s="67">
        <v>1</v>
      </c>
      <c r="D178" s="67"/>
      <c r="E178" s="67"/>
      <c r="F178" s="68"/>
      <c r="G178" s="69" t="e">
        <f t="shared" ref="G178:M178" si="1059">G179+G180</f>
        <v>#REF!</v>
      </c>
      <c r="H178" s="69" t="e">
        <f t="shared" si="1059"/>
        <v>#REF!</v>
      </c>
      <c r="I178" s="69" t="e">
        <f t="shared" si="1059"/>
        <v>#REF!</v>
      </c>
      <c r="J178" s="69" t="e">
        <f t="shared" si="1059"/>
        <v>#REF!</v>
      </c>
      <c r="K178" s="69" t="e">
        <f t="shared" si="1059"/>
        <v>#REF!</v>
      </c>
      <c r="L178" s="69" t="e">
        <f t="shared" si="1059"/>
        <v>#REF!</v>
      </c>
      <c r="M178" s="69">
        <f t="shared" si="1059"/>
        <v>89295</v>
      </c>
      <c r="N178" s="69">
        <v>18766</v>
      </c>
      <c r="O178" s="69">
        <f t="shared" ref="O178:AD178" si="1060">O179+O180</f>
        <v>68762</v>
      </c>
      <c r="P178" s="69">
        <f t="shared" si="1060"/>
        <v>49317.599999999999</v>
      </c>
      <c r="Q178" s="69">
        <f t="shared" si="1060"/>
        <v>0</v>
      </c>
      <c r="R178" s="69">
        <f t="shared" si="1060"/>
        <v>0</v>
      </c>
      <c r="S178" s="69">
        <f t="shared" si="1060"/>
        <v>17076</v>
      </c>
      <c r="T178" s="69">
        <f t="shared" si="1060"/>
        <v>32241.599999999999</v>
      </c>
      <c r="U178" s="69">
        <f t="shared" si="1060"/>
        <v>0</v>
      </c>
      <c r="V178" s="69">
        <f t="shared" si="1060"/>
        <v>7219</v>
      </c>
      <c r="W178" s="69">
        <f t="shared" si="1060"/>
        <v>7219</v>
      </c>
      <c r="X178" s="69">
        <f t="shared" si="1060"/>
        <v>10729</v>
      </c>
      <c r="Y178" s="69">
        <f t="shared" si="1060"/>
        <v>0</v>
      </c>
      <c r="Z178" s="69">
        <f t="shared" si="1060"/>
        <v>0</v>
      </c>
      <c r="AA178" s="69">
        <f t="shared" si="1060"/>
        <v>0</v>
      </c>
      <c r="AB178" s="69">
        <f t="shared" si="1060"/>
        <v>0</v>
      </c>
      <c r="AC178" s="69">
        <f t="shared" si="1060"/>
        <v>928</v>
      </c>
      <c r="AD178" s="69">
        <f t="shared" si="1060"/>
        <v>4674.5428601063304</v>
      </c>
      <c r="AE178" s="69"/>
      <c r="AF178" s="69">
        <f t="shared" ref="AF178:AL178" si="1061">AF179+AF180</f>
        <v>0.71935059109055699</v>
      </c>
      <c r="AG178" s="69">
        <f t="shared" si="1061"/>
        <v>2.8112969264259302</v>
      </c>
      <c r="AH178" s="69">
        <f t="shared" si="1061"/>
        <v>2.8112969264259302</v>
      </c>
      <c r="AI178" s="69">
        <f t="shared" si="1061"/>
        <v>837.98291553083595</v>
      </c>
      <c r="AJ178" s="69">
        <f t="shared" si="1061"/>
        <v>49317.599999999999</v>
      </c>
      <c r="AK178" s="69">
        <f t="shared" si="1061"/>
        <v>35.086780015506001</v>
      </c>
      <c r="AL178" s="69">
        <f t="shared" si="1061"/>
        <v>3291.7006999999999</v>
      </c>
      <c r="AM178" s="69">
        <v>88</v>
      </c>
      <c r="AN178" s="71">
        <v>2.5154756971131902</v>
      </c>
      <c r="AO178" s="69">
        <f t="shared" ref="AO178:BA178" si="1062">AO179+AO180</f>
        <v>370.75577821163102</v>
      </c>
      <c r="AP178" s="69">
        <f t="shared" si="1062"/>
        <v>3000</v>
      </c>
      <c r="AQ178" s="69"/>
      <c r="AR178" s="69">
        <f t="shared" si="1062"/>
        <v>39313</v>
      </c>
      <c r="AS178" s="69">
        <f t="shared" si="1062"/>
        <v>538.51285359896701</v>
      </c>
      <c r="AT178" s="69">
        <f t="shared" si="1062"/>
        <v>0.70999999999999996</v>
      </c>
      <c r="AU178" s="69">
        <f t="shared" si="1062"/>
        <v>515.53203632249995</v>
      </c>
      <c r="AV178" s="69">
        <f t="shared" si="1062"/>
        <v>6</v>
      </c>
      <c r="AW178" s="69">
        <f t="shared" si="1062"/>
        <v>6000</v>
      </c>
      <c r="AX178" s="69">
        <f t="shared" si="1062"/>
        <v>62498.418106581201</v>
      </c>
      <c r="AY178" s="69">
        <f t="shared" si="1062"/>
        <v>244.99000000000001</v>
      </c>
      <c r="AZ178" s="69">
        <f t="shared" si="1062"/>
        <v>0</v>
      </c>
      <c r="BA178" s="69">
        <f t="shared" si="1062"/>
        <v>1600</v>
      </c>
      <c r="BB178" s="69"/>
      <c r="BC178" s="69">
        <f t="shared" ref="BC178:BK178" si="1063">BC179+BC180</f>
        <v>0</v>
      </c>
      <c r="BD178" s="71">
        <f t="shared" si="1063"/>
        <v>83.746851067782501</v>
      </c>
      <c r="BE178" s="69">
        <f t="shared" si="1063"/>
        <v>1049.61139233945</v>
      </c>
      <c r="BF178" s="69" t="e">
        <f t="shared" si="1063"/>
        <v>#N/A</v>
      </c>
      <c r="BG178" s="69" t="e">
        <f t="shared" si="1063"/>
        <v>#N/A</v>
      </c>
      <c r="BH178" s="69" t="e">
        <f t="shared" si="1063"/>
        <v>#REF!</v>
      </c>
      <c r="BI178" s="69" t="e">
        <f t="shared" si="1063"/>
        <v>#REF!</v>
      </c>
      <c r="BJ178" s="69" t="e">
        <f t="shared" si="1063"/>
        <v>#REF!</v>
      </c>
      <c r="BK178" s="69">
        <f t="shared" si="1063"/>
        <v>81085.355942691007</v>
      </c>
      <c r="BL178" s="69">
        <v>89295</v>
      </c>
      <c r="BM178" s="184">
        <f>BM179+BM180</f>
        <v>81085.355942691007</v>
      </c>
      <c r="BN178" s="184">
        <f>BN179+BN180</f>
        <v>7.2759576141834308e-012</v>
      </c>
      <c r="BO178" s="43">
        <f t="shared" si="950"/>
        <v>8.9732079604187501e-017</v>
      </c>
      <c r="BP178" s="185"/>
    </row>
    <row r="179" s="5" customFormat="1" ht="17" customHeight="1">
      <c r="A179" s="44"/>
      <c r="B179" s="72" t="s">
        <v>218</v>
      </c>
      <c r="C179" s="46">
        <v>2</v>
      </c>
      <c r="D179" s="46"/>
      <c r="E179" s="46"/>
      <c r="F179" s="46"/>
      <c r="G179" s="73"/>
      <c r="H179" s="73"/>
      <c r="I179" s="73"/>
      <c r="J179" s="73"/>
      <c r="K179" s="73"/>
      <c r="L179" s="73"/>
      <c r="M179" s="73"/>
      <c r="N179" s="73"/>
      <c r="O179" s="73"/>
      <c r="P179" s="59">
        <f t="shared" ref="P179:P183" si="1064">SUM(Q179:U179)</f>
        <v>0</v>
      </c>
      <c r="Q179" s="59">
        <f t="shared" ref="Q179:Q183" si="1065">IF(D179="",O179*0.2,0)</f>
        <v>0</v>
      </c>
      <c r="R179" s="59">
        <f t="shared" ref="R179:R183" si="1066">IF(D179=2017,O179*0.4,0)</f>
        <v>0</v>
      </c>
      <c r="S179" s="59">
        <f t="shared" ref="S179:S183" si="1067">IF(D179=2018,O179*0.6,0)</f>
        <v>0</v>
      </c>
      <c r="T179" s="59">
        <f t="shared" ref="T179:T183" si="1068">IF(D179=2019,O179*0.8,0)</f>
        <v>0</v>
      </c>
      <c r="U179" s="59">
        <f t="shared" ref="U179:U183" si="1069">IF(D179=2020,O179*1,0)</f>
        <v>0</v>
      </c>
      <c r="V179" s="59"/>
      <c r="W179" s="59"/>
      <c r="X179" s="59"/>
      <c r="Y179" s="59">
        <f>T179*0.4+U179*0.6+V179*0.8+X179*1</f>
        <v>0</v>
      </c>
      <c r="Z179" s="59"/>
      <c r="AA179" s="59"/>
      <c r="AB179" s="59"/>
      <c r="AC179" s="59"/>
      <c r="AD179" s="59"/>
      <c r="AE179" s="59"/>
      <c r="AF179" s="62"/>
      <c r="AG179" s="62"/>
      <c r="AH179" s="62"/>
      <c r="AI179" s="59"/>
      <c r="AJ179" s="59"/>
      <c r="AK179" s="59"/>
      <c r="AL179" s="59"/>
      <c r="AM179" s="59"/>
      <c r="AN179" s="62"/>
      <c r="AO179" s="59"/>
      <c r="AP179" s="59"/>
      <c r="AQ179" s="59"/>
      <c r="AR179" s="59"/>
      <c r="AS179" s="59"/>
      <c r="AT179" s="59"/>
      <c r="AU179" s="59"/>
      <c r="AV179" s="59"/>
      <c r="AW179" s="59"/>
      <c r="AX179" s="59"/>
      <c r="AY179" s="62"/>
      <c r="AZ179" s="62"/>
      <c r="BA179" s="59"/>
      <c r="BB179" s="59"/>
      <c r="BC179" s="59"/>
      <c r="BD179" s="62"/>
      <c r="BE179" s="59"/>
      <c r="BF179" s="62"/>
      <c r="BG179" s="59"/>
      <c r="BH179" s="53"/>
      <c r="BI179" s="59"/>
      <c r="BJ179" s="182"/>
      <c r="BK179" s="170"/>
      <c r="BL179" s="73"/>
      <c r="BM179" s="170"/>
      <c r="BN179" s="50"/>
      <c r="BO179" s="43"/>
      <c r="BP179" s="4"/>
    </row>
    <row r="180" s="74" customFormat="1" ht="17" customHeight="1">
      <c r="A180" s="75"/>
      <c r="B180" s="76" t="s">
        <v>76</v>
      </c>
      <c r="C180" s="77">
        <v>3</v>
      </c>
      <c r="D180" s="77"/>
      <c r="E180" s="77"/>
      <c r="F180" s="78"/>
      <c r="G180" s="79" t="e">
        <f t="shared" ref="G180:M180" si="1070">SUM(G181:G183)</f>
        <v>#REF!</v>
      </c>
      <c r="H180" s="79" t="e">
        <f t="shared" si="1070"/>
        <v>#REF!</v>
      </c>
      <c r="I180" s="79" t="e">
        <f t="shared" si="1070"/>
        <v>#REF!</v>
      </c>
      <c r="J180" s="79" t="e">
        <f t="shared" si="1070"/>
        <v>#REF!</v>
      </c>
      <c r="K180" s="79" t="e">
        <f t="shared" si="1070"/>
        <v>#REF!</v>
      </c>
      <c r="L180" s="79" t="e">
        <f t="shared" si="1070"/>
        <v>#REF!</v>
      </c>
      <c r="M180" s="79">
        <f t="shared" si="1070"/>
        <v>89295</v>
      </c>
      <c r="N180" s="79">
        <v>18766</v>
      </c>
      <c r="O180" s="79">
        <f t="shared" ref="O180:AD180" si="1071">SUM(O181:O183)</f>
        <v>68762</v>
      </c>
      <c r="P180" s="79">
        <f t="shared" si="1071"/>
        <v>49317.599999999999</v>
      </c>
      <c r="Q180" s="79">
        <f t="shared" si="1071"/>
        <v>0</v>
      </c>
      <c r="R180" s="79">
        <f t="shared" si="1071"/>
        <v>0</v>
      </c>
      <c r="S180" s="79">
        <f t="shared" si="1071"/>
        <v>17076</v>
      </c>
      <c r="T180" s="79">
        <f t="shared" si="1071"/>
        <v>32241.599999999999</v>
      </c>
      <c r="U180" s="79">
        <f t="shared" si="1071"/>
        <v>0</v>
      </c>
      <c r="V180" s="79">
        <f t="shared" si="1071"/>
        <v>7219</v>
      </c>
      <c r="W180" s="79">
        <f t="shared" si="1071"/>
        <v>7219</v>
      </c>
      <c r="X180" s="79">
        <f t="shared" si="1071"/>
        <v>10729</v>
      </c>
      <c r="Y180" s="79">
        <f t="shared" si="1071"/>
        <v>0</v>
      </c>
      <c r="Z180" s="79">
        <f t="shared" si="1071"/>
        <v>0</v>
      </c>
      <c r="AA180" s="79">
        <f t="shared" si="1071"/>
        <v>0</v>
      </c>
      <c r="AB180" s="79">
        <f t="shared" si="1071"/>
        <v>0</v>
      </c>
      <c r="AC180" s="79">
        <f t="shared" si="1071"/>
        <v>928</v>
      </c>
      <c r="AD180" s="79">
        <f t="shared" si="1071"/>
        <v>4674.5428601063304</v>
      </c>
      <c r="AE180" s="79"/>
      <c r="AF180" s="79">
        <f t="shared" ref="AF180:AL180" si="1072">SUM(AF181:AF183)</f>
        <v>0.71935059109055699</v>
      </c>
      <c r="AG180" s="79">
        <f t="shared" si="1072"/>
        <v>2.8112969264259302</v>
      </c>
      <c r="AH180" s="79">
        <f t="shared" si="1072"/>
        <v>2.8112969264259302</v>
      </c>
      <c r="AI180" s="79">
        <f t="shared" si="1072"/>
        <v>837.98291553083595</v>
      </c>
      <c r="AJ180" s="79">
        <f t="shared" si="1072"/>
        <v>49317.599999999999</v>
      </c>
      <c r="AK180" s="79">
        <f t="shared" si="1072"/>
        <v>35.086780015506001</v>
      </c>
      <c r="AL180" s="79">
        <f t="shared" si="1072"/>
        <v>3291.7006999999999</v>
      </c>
      <c r="AM180" s="79">
        <v>88</v>
      </c>
      <c r="AN180" s="81">
        <v>2.5154756971131902</v>
      </c>
      <c r="AO180" s="79">
        <f t="shared" ref="AO180:BA180" si="1073">SUM(AO181:AO183)</f>
        <v>370.75577821163102</v>
      </c>
      <c r="AP180" s="79">
        <f t="shared" si="1073"/>
        <v>3000</v>
      </c>
      <c r="AQ180" s="79"/>
      <c r="AR180" s="79">
        <f t="shared" si="1073"/>
        <v>39313</v>
      </c>
      <c r="AS180" s="79">
        <f t="shared" si="1073"/>
        <v>538.51285359896701</v>
      </c>
      <c r="AT180" s="79">
        <f t="shared" si="1073"/>
        <v>0.70999999999999996</v>
      </c>
      <c r="AU180" s="79">
        <f t="shared" si="1073"/>
        <v>515.53203632249995</v>
      </c>
      <c r="AV180" s="79">
        <f t="shared" si="1073"/>
        <v>6</v>
      </c>
      <c r="AW180" s="79">
        <f t="shared" si="1073"/>
        <v>6000</v>
      </c>
      <c r="AX180" s="79">
        <f t="shared" si="1073"/>
        <v>62498.418106581201</v>
      </c>
      <c r="AY180" s="79">
        <f t="shared" si="1073"/>
        <v>244.99000000000001</v>
      </c>
      <c r="AZ180" s="79">
        <f t="shared" si="1073"/>
        <v>0</v>
      </c>
      <c r="BA180" s="79">
        <f t="shared" si="1073"/>
        <v>1600</v>
      </c>
      <c r="BB180" s="79"/>
      <c r="BC180" s="79">
        <f t="shared" ref="BC180:BJ180" si="1074">SUM(BC181:BC183)</f>
        <v>0</v>
      </c>
      <c r="BD180" s="81">
        <f t="shared" si="1074"/>
        <v>83.746851067782501</v>
      </c>
      <c r="BE180" s="79">
        <f t="shared" si="1074"/>
        <v>1049.61139233945</v>
      </c>
      <c r="BF180" s="81" t="e">
        <f t="shared" si="1074"/>
        <v>#N/A</v>
      </c>
      <c r="BG180" s="79" t="e">
        <f t="shared" si="1074"/>
        <v>#N/A</v>
      </c>
      <c r="BH180" s="80" t="e">
        <f t="shared" si="1074"/>
        <v>#REF!</v>
      </c>
      <c r="BI180" s="80" t="e">
        <f t="shared" si="1074"/>
        <v>#REF!</v>
      </c>
      <c r="BJ180" s="186" t="e">
        <f t="shared" si="1074"/>
        <v>#REF!</v>
      </c>
      <c r="BK180" s="187">
        <v>81085.355942691007</v>
      </c>
      <c r="BL180" s="79">
        <v>89295</v>
      </c>
      <c r="BM180" s="187">
        <f t="shared" ref="BM180:BQ180" si="1075">SUM(BM181:BM183)</f>
        <v>81085.355942691007</v>
      </c>
      <c r="BN180" s="187">
        <f t="shared" si="1075"/>
        <v>7.2759576141834308e-012</v>
      </c>
      <c r="BO180" s="43">
        <f t="shared" si="950"/>
        <v>8.9732079604187501e-017</v>
      </c>
      <c r="BP180" s="187">
        <f>SUM(BP181:BP183)</f>
        <v>18586.937836109701</v>
      </c>
      <c r="BQ180" s="187">
        <f t="shared" si="1075"/>
        <v>62498.418106581303</v>
      </c>
    </row>
    <row r="181" ht="17" customHeight="1">
      <c r="A181" s="46">
        <v>119</v>
      </c>
      <c r="B181" s="82" t="s">
        <v>219</v>
      </c>
      <c r="C181" s="46" t="s">
        <v>93</v>
      </c>
      <c r="D181" s="46">
        <v>2018</v>
      </c>
      <c r="E181" s="46" t="s">
        <v>94</v>
      </c>
      <c r="F181" s="46"/>
      <c r="G181" s="73" t="e">
        <f>VLOOKUP(B:B,#REF!,2,0)</f>
        <v>#REF!</v>
      </c>
      <c r="H181" s="73" t="e">
        <f t="shared" ref="H181:H183" si="1076">G181*299423/381298.76</f>
        <v>#REF!</v>
      </c>
      <c r="I181" s="59" t="e">
        <f>VLOOKUP(B181,#REF!,4,0)</f>
        <v>#REF!</v>
      </c>
      <c r="J181" s="59" t="e">
        <f>VLOOKUP(B181,#REF!,2,0)</f>
        <v>#REF!</v>
      </c>
      <c r="K181" s="73" t="e">
        <f t="shared" ref="K181:K183" si="1077">I181*1485211/1408452</f>
        <v>#REF!</v>
      </c>
      <c r="L181" s="73" t="e">
        <f t="shared" ref="L181:L183" si="1078">J181*1485211/1408452</f>
        <v>#REF!</v>
      </c>
      <c r="M181" s="59">
        <v>22150</v>
      </c>
      <c r="N181" s="59">
        <v>7627</v>
      </c>
      <c r="O181" s="73">
        <v>16714</v>
      </c>
      <c r="P181" s="59">
        <f t="shared" si="1064"/>
        <v>10028.4</v>
      </c>
      <c r="Q181" s="59">
        <f t="shared" si="1065"/>
        <v>0</v>
      </c>
      <c r="R181" s="59">
        <f t="shared" si="1066"/>
        <v>0</v>
      </c>
      <c r="S181" s="59">
        <f t="shared" si="1067"/>
        <v>10028.4</v>
      </c>
      <c r="T181" s="59">
        <f t="shared" si="1068"/>
        <v>0</v>
      </c>
      <c r="U181" s="59">
        <f t="shared" si="1069"/>
        <v>0</v>
      </c>
      <c r="V181" s="59">
        <v>1119</v>
      </c>
      <c r="W181" s="59">
        <f t="shared" ref="W181:W183" si="1079">V181*1</f>
        <v>1119</v>
      </c>
      <c r="X181" s="59">
        <v>2321</v>
      </c>
      <c r="Y181" s="59">
        <f t="shared" ref="Y181:Y183" si="1080">Z181+AA181+AB181*1.2</f>
        <v>0</v>
      </c>
      <c r="Z181" s="59"/>
      <c r="AA181" s="59"/>
      <c r="AB181" s="59"/>
      <c r="AC181" s="59">
        <v>493</v>
      </c>
      <c r="AD181" s="59">
        <f t="shared" ref="AD181:AD183" si="1081">O181/$O$9*202299+W181/$W$9*134866+AC181/$AC$9*34867+X181/$X$9*100000</f>
        <v>1057.29536336706</v>
      </c>
      <c r="AE181" s="59">
        <v>15432.809999999999</v>
      </c>
      <c r="AF181" s="62">
        <f t="shared" ref="AF181:AF183" si="1082">($AE$64-AE181)/($AE$64-$AE$44)</f>
        <v>3.6425572291198201e-002</v>
      </c>
      <c r="AG181" s="62">
        <f t="shared" ref="AG181:AG183" si="1083">(O181+V181)*AF181/10000</f>
        <v>6.4957723066893805e-002</v>
      </c>
      <c r="AH181" s="62">
        <f t="shared" ref="AH181:AH183" si="1084">AG181*1</f>
        <v>6.4957723066893805e-002</v>
      </c>
      <c r="AI181" s="59">
        <f t="shared" ref="AI181:AI183" si="1085">AH181/$AH$9*1348663*0.1</f>
        <v>19.362402331169999</v>
      </c>
      <c r="AJ181" s="59">
        <f t="shared" ref="AJ181:AJ183" si="1086">P181</f>
        <v>10028.4</v>
      </c>
      <c r="AK181" s="59">
        <f t="shared" ref="AK181:AK183" si="1087">AJ181/$AJ$9*2859</f>
        <v>7.1346591218449404</v>
      </c>
      <c r="AL181" s="59">
        <v>684.5</v>
      </c>
      <c r="AM181" s="59">
        <v>28</v>
      </c>
      <c r="AN181" s="62">
        <v>1</v>
      </c>
      <c r="AO181" s="59">
        <f t="shared" ref="AO181:AO183" si="1088">(AL181/$AL$9*80000)</f>
        <v>77.097632292590106</v>
      </c>
      <c r="AP181" s="59"/>
      <c r="AQ181" s="59"/>
      <c r="AR181" s="59">
        <v>10571</v>
      </c>
      <c r="AS181" s="59">
        <f t="shared" ref="AS181:AS183" si="1089">AR181/$AR$9*50000</f>
        <v>144.80246675132099</v>
      </c>
      <c r="AT181" s="189">
        <v>0.11</v>
      </c>
      <c r="AU181" s="59">
        <f t="shared" ref="AU181:AU183" si="1090">AT181/$AT$9*50000</f>
        <v>79.871160557007002</v>
      </c>
      <c r="AV181" s="59">
        <v>2</v>
      </c>
      <c r="AW181" s="59">
        <f t="shared" ref="AW181:AW183" si="1091">AV181*1000</f>
        <v>2000</v>
      </c>
      <c r="AX181" s="59">
        <v>15766.3817283304</v>
      </c>
      <c r="AY181" s="62">
        <v>82.079999999999998</v>
      </c>
      <c r="AZ181" s="62" t="s">
        <v>442</v>
      </c>
      <c r="BA181" s="59">
        <v>800</v>
      </c>
      <c r="BB181" s="59" t="s">
        <v>443</v>
      </c>
      <c r="BC181" s="59"/>
      <c r="BD181" s="62">
        <v>13.4645010282866</v>
      </c>
      <c r="BE181" s="59">
        <f t="shared" ref="BE181:BE183" si="1092">BD181/$BD$9*42266</f>
        <v>168.752538050863</v>
      </c>
      <c r="BF181" s="62" t="e">
        <f>VLOOKUP(B181,'2022年项目库建设情况'!B:O,14,0)</f>
        <v>#N/A</v>
      </c>
      <c r="BG181" s="59" t="e">
        <f t="shared" ref="BG181:BG183" si="1093">BF181/$BF$9*1348663*0.025</f>
        <v>#N/A</v>
      </c>
      <c r="BH181" s="53" t="e">
        <f>ROUND(AI181+AD181+#REF!+#REF!+BE181+BG181,0)</f>
        <v>#REF!</v>
      </c>
      <c r="BI181" s="59" t="e">
        <f t="shared" ref="BI181:BI183" si="1094">N181-G181</f>
        <v>#REF!</v>
      </c>
      <c r="BJ181" s="167" t="e">
        <f t="shared" ref="BJ181:BJ183" si="1095">BI181/G181</f>
        <v>#REF!</v>
      </c>
      <c r="BK181" s="170">
        <v>20113.563291680399</v>
      </c>
      <c r="BL181" s="59">
        <v>22150</v>
      </c>
      <c r="BM181" s="59">
        <f t="shared" ref="BM181:BM183" si="1096">BL181/$BL$9*1348663</f>
        <v>20113.563291680399</v>
      </c>
      <c r="BN181" s="59">
        <f t="shared" ref="BN181:BN183" si="1097">BK181-BM181</f>
        <v>-4.0017766878008797e-011</v>
      </c>
      <c r="BO181" s="43">
        <f t="shared" si="950"/>
        <v>-1.9895911180770899e-015</v>
      </c>
      <c r="BP181" s="50">
        <f>AD181+AI181+AO181+AP181+AS181+AU181+AW181+BA181+BC181+BE181</f>
        <v>4347.18156335001</v>
      </c>
      <c r="BQ181" s="170">
        <f t="shared" ref="BQ181:BQ183" si="1098">BM181-BP181</f>
        <v>15766.3817283304</v>
      </c>
    </row>
    <row r="182" ht="17" customHeight="1">
      <c r="A182" s="46">
        <v>120</v>
      </c>
      <c r="B182" s="82" t="s">
        <v>221</v>
      </c>
      <c r="C182" s="46" t="s">
        <v>93</v>
      </c>
      <c r="D182" s="46">
        <v>2019</v>
      </c>
      <c r="E182" s="46" t="s">
        <v>94</v>
      </c>
      <c r="F182" s="46"/>
      <c r="G182" s="73" t="e">
        <f>VLOOKUP(B:B,#REF!,2,0)</f>
        <v>#REF!</v>
      </c>
      <c r="H182" s="73" t="e">
        <f t="shared" si="1076"/>
        <v>#REF!</v>
      </c>
      <c r="I182" s="59" t="e">
        <f>VLOOKUP(B182,#REF!,4,0)</f>
        <v>#REF!</v>
      </c>
      <c r="J182" s="59" t="e">
        <f>VLOOKUP(B182,#REF!,2,0)</f>
        <v>#REF!</v>
      </c>
      <c r="K182" s="73" t="e">
        <f t="shared" si="1077"/>
        <v>#REF!</v>
      </c>
      <c r="L182" s="73" t="e">
        <f t="shared" si="1078"/>
        <v>#REF!</v>
      </c>
      <c r="M182" s="59">
        <v>46943</v>
      </c>
      <c r="N182" s="59">
        <v>6687</v>
      </c>
      <c r="O182" s="73">
        <v>40302</v>
      </c>
      <c r="P182" s="59">
        <f t="shared" si="1064"/>
        <v>32241.599999999999</v>
      </c>
      <c r="Q182" s="59">
        <f t="shared" si="1065"/>
        <v>0</v>
      </c>
      <c r="R182" s="59">
        <f t="shared" si="1066"/>
        <v>0</v>
      </c>
      <c r="S182" s="59">
        <f t="shared" si="1067"/>
        <v>0</v>
      </c>
      <c r="T182" s="59">
        <f t="shared" si="1068"/>
        <v>32241.599999999999</v>
      </c>
      <c r="U182" s="59">
        <f t="shared" si="1069"/>
        <v>0</v>
      </c>
      <c r="V182" s="59">
        <v>4931</v>
      </c>
      <c r="W182" s="59">
        <f t="shared" si="1079"/>
        <v>4931</v>
      </c>
      <c r="X182" s="59">
        <v>5324</v>
      </c>
      <c r="Y182" s="59">
        <f t="shared" si="1080"/>
        <v>0</v>
      </c>
      <c r="Z182" s="59"/>
      <c r="AA182" s="59"/>
      <c r="AB182" s="59"/>
      <c r="AC182" s="59">
        <v>256</v>
      </c>
      <c r="AD182" s="59">
        <f t="shared" si="1081"/>
        <v>2699.72288909389</v>
      </c>
      <c r="AE182" s="59">
        <v>12083.639999999999</v>
      </c>
      <c r="AF182" s="62">
        <f t="shared" si="1082"/>
        <v>0.57687404591239</v>
      </c>
      <c r="AG182" s="62">
        <f t="shared" si="1083"/>
        <v>2.6093743718755098</v>
      </c>
      <c r="AH182" s="62">
        <f t="shared" si="1084"/>
        <v>2.6093743718755098</v>
      </c>
      <c r="AI182" s="59">
        <f t="shared" si="1085"/>
        <v>777.79444899674104</v>
      </c>
      <c r="AJ182" s="59">
        <f t="shared" si="1086"/>
        <v>32241.599999999999</v>
      </c>
      <c r="AK182" s="59">
        <f t="shared" si="1087"/>
        <v>22.938138241681202</v>
      </c>
      <c r="AL182" s="59">
        <v>1210.5007000000001</v>
      </c>
      <c r="AM182" s="59">
        <v>39</v>
      </c>
      <c r="AN182" s="62">
        <v>0.52120020516327603</v>
      </c>
      <c r="AO182" s="59">
        <f t="shared" si="1088"/>
        <v>136.34293332143599</v>
      </c>
      <c r="AP182" s="59">
        <v>3000</v>
      </c>
      <c r="AQ182" s="59"/>
      <c r="AR182" s="59">
        <v>23092</v>
      </c>
      <c r="AS182" s="59">
        <f t="shared" si="1089"/>
        <v>316.31620113721499</v>
      </c>
      <c r="AT182" s="189">
        <v>0.46000000000000002</v>
      </c>
      <c r="AU182" s="59">
        <f t="shared" si="1090"/>
        <v>334.00667142021098</v>
      </c>
      <c r="AV182" s="59">
        <v>2</v>
      </c>
      <c r="AW182" s="59">
        <f t="shared" si="1091"/>
        <v>2000</v>
      </c>
      <c r="AX182" s="59">
        <v>32931.480474355398</v>
      </c>
      <c r="AY182" s="62">
        <v>78.760000000000005</v>
      </c>
      <c r="AZ182" s="62" t="s">
        <v>440</v>
      </c>
      <c r="BA182" s="59"/>
      <c r="BB182" s="59" t="s">
        <v>443</v>
      </c>
      <c r="BC182" s="59"/>
      <c r="BD182" s="62">
        <v>34.426287365365297</v>
      </c>
      <c r="BE182" s="59">
        <f t="shared" si="1092"/>
        <v>431.46963681527598</v>
      </c>
      <c r="BF182" s="62" t="e">
        <f>VLOOKUP(B182,'2022年项目库建设情况'!B:O,14,0)</f>
        <v>#N/A</v>
      </c>
      <c r="BG182" s="59" t="e">
        <f t="shared" si="1093"/>
        <v>#N/A</v>
      </c>
      <c r="BH182" s="53" t="e">
        <f>ROUND(AI182+AD182+#REF!+#REF!+BE182+BG182,0)</f>
        <v>#REF!</v>
      </c>
      <c r="BI182" s="59" t="e">
        <f t="shared" si="1094"/>
        <v>#REF!</v>
      </c>
      <c r="BJ182" s="167" t="e">
        <f t="shared" si="1095"/>
        <v>#REF!</v>
      </c>
      <c r="BK182" s="170">
        <v>42627.133255140201</v>
      </c>
      <c r="BL182" s="59">
        <v>46943</v>
      </c>
      <c r="BM182" s="59">
        <f t="shared" si="1096"/>
        <v>42627.133255140201</v>
      </c>
      <c r="BN182" s="59">
        <f t="shared" si="1097"/>
        <v>0</v>
      </c>
      <c r="BO182" s="43">
        <f t="shared" si="950"/>
        <v>0</v>
      </c>
      <c r="BP182" s="50">
        <f t="shared" si="1057"/>
        <v>9695.6527807847706</v>
      </c>
      <c r="BQ182" s="170">
        <f t="shared" si="1098"/>
        <v>32931.480474355398</v>
      </c>
    </row>
    <row r="183" ht="17" customHeight="1">
      <c r="A183" s="46">
        <v>121</v>
      </c>
      <c r="B183" s="82" t="s">
        <v>220</v>
      </c>
      <c r="C183" s="46" t="s">
        <v>93</v>
      </c>
      <c r="D183" s="46">
        <v>2018</v>
      </c>
      <c r="E183" s="46" t="s">
        <v>94</v>
      </c>
      <c r="F183" s="46"/>
      <c r="G183" s="73" t="e">
        <f>VLOOKUP(B:B,#REF!,2,0)</f>
        <v>#REF!</v>
      </c>
      <c r="H183" s="73" t="e">
        <f t="shared" si="1076"/>
        <v>#REF!</v>
      </c>
      <c r="I183" s="59" t="e">
        <f>VLOOKUP(B183,#REF!,4,0)</f>
        <v>#REF!</v>
      </c>
      <c r="J183" s="59" t="e">
        <f>VLOOKUP(B183,#REF!,2,0)</f>
        <v>#REF!</v>
      </c>
      <c r="K183" s="73" t="e">
        <f t="shared" si="1077"/>
        <v>#REF!</v>
      </c>
      <c r="L183" s="73" t="e">
        <f t="shared" si="1078"/>
        <v>#REF!</v>
      </c>
      <c r="M183" s="59">
        <v>20202</v>
      </c>
      <c r="N183" s="59">
        <v>4452</v>
      </c>
      <c r="O183" s="73">
        <v>11746</v>
      </c>
      <c r="P183" s="59">
        <f t="shared" si="1064"/>
        <v>7047.6000000000004</v>
      </c>
      <c r="Q183" s="59">
        <f t="shared" si="1065"/>
        <v>0</v>
      </c>
      <c r="R183" s="59">
        <f t="shared" si="1066"/>
        <v>0</v>
      </c>
      <c r="S183" s="59">
        <f t="shared" si="1067"/>
        <v>7047.6000000000004</v>
      </c>
      <c r="T183" s="59">
        <f t="shared" si="1068"/>
        <v>0</v>
      </c>
      <c r="U183" s="59">
        <f t="shared" si="1069"/>
        <v>0</v>
      </c>
      <c r="V183" s="59">
        <v>1169</v>
      </c>
      <c r="W183" s="59">
        <f t="shared" si="1079"/>
        <v>1169</v>
      </c>
      <c r="X183" s="59">
        <v>3084</v>
      </c>
      <c r="Y183" s="59">
        <f t="shared" si="1080"/>
        <v>0</v>
      </c>
      <c r="Z183" s="59"/>
      <c r="AA183" s="59"/>
      <c r="AB183" s="59"/>
      <c r="AC183" s="59">
        <v>179</v>
      </c>
      <c r="AD183" s="59">
        <f t="shared" si="1081"/>
        <v>917.52460764537796</v>
      </c>
      <c r="AE183" s="59">
        <v>15001.34</v>
      </c>
      <c r="AF183" s="62">
        <f t="shared" si="1082"/>
        <v>0.10605097288696801</v>
      </c>
      <c r="AG183" s="62">
        <f t="shared" si="1083"/>
        <v>0.13696483148352001</v>
      </c>
      <c r="AH183" s="62">
        <f t="shared" si="1084"/>
        <v>0.13696483148352001</v>
      </c>
      <c r="AI183" s="59">
        <f t="shared" si="1085"/>
        <v>40.826064202924599</v>
      </c>
      <c r="AJ183" s="59">
        <f t="shared" si="1086"/>
        <v>7047.6000000000004</v>
      </c>
      <c r="AK183" s="59">
        <f t="shared" si="1087"/>
        <v>5.0139826519798198</v>
      </c>
      <c r="AL183" s="59">
        <v>1396.7</v>
      </c>
      <c r="AM183" s="59">
        <v>21</v>
      </c>
      <c r="AN183" s="62">
        <v>0.99427549194991105</v>
      </c>
      <c r="AO183" s="59">
        <f t="shared" si="1088"/>
        <v>157.31521259760501</v>
      </c>
      <c r="AP183" s="59"/>
      <c r="AQ183" s="59"/>
      <c r="AR183" s="59">
        <v>5650</v>
      </c>
      <c r="AS183" s="59">
        <f t="shared" si="1089"/>
        <v>77.394185710430705</v>
      </c>
      <c r="AT183" s="189">
        <v>0.14000000000000001</v>
      </c>
      <c r="AU183" s="59">
        <f t="shared" si="1090"/>
        <v>101.654204345282</v>
      </c>
      <c r="AV183" s="59">
        <v>2</v>
      </c>
      <c r="AW183" s="59">
        <f t="shared" si="1091"/>
        <v>2000</v>
      </c>
      <c r="AX183" s="59">
        <v>13800.5559038954</v>
      </c>
      <c r="AY183" s="62">
        <v>84.150000000000006</v>
      </c>
      <c r="AZ183" s="62" t="s">
        <v>442</v>
      </c>
      <c r="BA183" s="59">
        <v>800</v>
      </c>
      <c r="BB183" s="59" t="s">
        <v>443</v>
      </c>
      <c r="BC183" s="59"/>
      <c r="BD183" s="62">
        <v>35.856062674130598</v>
      </c>
      <c r="BE183" s="59">
        <f t="shared" si="1092"/>
        <v>449.38921747331301</v>
      </c>
      <c r="BF183" s="62" t="e">
        <f>VLOOKUP(B183,'2022年项目库建设情况'!B:O,14,0)</f>
        <v>#N/A</v>
      </c>
      <c r="BG183" s="59" t="e">
        <f t="shared" si="1093"/>
        <v>#N/A</v>
      </c>
      <c r="BH183" s="53" t="e">
        <f>ROUND(AI183+AD183+#REF!+#REF!+BE183+BG183,0)</f>
        <v>#REF!</v>
      </c>
      <c r="BI183" s="59" t="e">
        <f t="shared" si="1094"/>
        <v>#REF!</v>
      </c>
      <c r="BJ183" s="167" t="e">
        <f t="shared" si="1095"/>
        <v>#REF!</v>
      </c>
      <c r="BK183" s="170">
        <v>18344.6593958704</v>
      </c>
      <c r="BL183" s="59">
        <v>20202</v>
      </c>
      <c r="BM183" s="59">
        <f t="shared" si="1096"/>
        <v>18344.6593958704</v>
      </c>
      <c r="BN183" s="59">
        <f t="shared" si="1097"/>
        <v>4.7293724492192301e-011</v>
      </c>
      <c r="BO183" s="43">
        <f t="shared" si="950"/>
        <v>2.57806500909135e-015</v>
      </c>
      <c r="BP183" s="50">
        <f t="shared" si="1057"/>
        <v>4544.10349197493</v>
      </c>
      <c r="BQ183" s="170">
        <f t="shared" si="1098"/>
        <v>13800.5559038954</v>
      </c>
    </row>
    <row r="184" s="64" customFormat="1" ht="17" customHeight="1">
      <c r="A184" s="65"/>
      <c r="B184" s="66" t="s">
        <v>222</v>
      </c>
      <c r="C184" s="67">
        <v>1</v>
      </c>
      <c r="D184" s="67"/>
      <c r="E184" s="67"/>
      <c r="F184" s="68"/>
      <c r="G184" s="69" t="e">
        <f t="shared" ref="G184:M184" si="1099">G185+G186</f>
        <v>#REF!</v>
      </c>
      <c r="H184" s="69" t="e">
        <f t="shared" si="1099"/>
        <v>#REF!</v>
      </c>
      <c r="I184" s="69" t="e">
        <f t="shared" si="1099"/>
        <v>#REF!</v>
      </c>
      <c r="J184" s="69" t="e">
        <f t="shared" si="1099"/>
        <v>#REF!</v>
      </c>
      <c r="K184" s="69" t="e">
        <f t="shared" si="1099"/>
        <v>#REF!</v>
      </c>
      <c r="L184" s="69" t="e">
        <f t="shared" si="1099"/>
        <v>#REF!</v>
      </c>
      <c r="M184" s="69">
        <f t="shared" si="1099"/>
        <v>55378</v>
      </c>
      <c r="N184" s="69">
        <v>10517</v>
      </c>
      <c r="O184" s="69">
        <f t="shared" ref="O184:AD184" si="1100">O185+O186</f>
        <v>332572</v>
      </c>
      <c r="P184" s="69">
        <f t="shared" si="1100"/>
        <v>200588.39999999999</v>
      </c>
      <c r="Q184" s="69">
        <f t="shared" si="1100"/>
        <v>0</v>
      </c>
      <c r="R184" s="69">
        <f t="shared" si="1100"/>
        <v>17008.400000000001</v>
      </c>
      <c r="S184" s="69">
        <f t="shared" si="1100"/>
        <v>145382.39999999999</v>
      </c>
      <c r="T184" s="69">
        <f t="shared" si="1100"/>
        <v>38197.599999999999</v>
      </c>
      <c r="U184" s="69">
        <f t="shared" si="1100"/>
        <v>0</v>
      </c>
      <c r="V184" s="69">
        <f t="shared" si="1100"/>
        <v>38323</v>
      </c>
      <c r="W184" s="69">
        <f t="shared" si="1100"/>
        <v>28160</v>
      </c>
      <c r="X184" s="69">
        <f t="shared" si="1100"/>
        <v>21233</v>
      </c>
      <c r="Y184" s="69">
        <f t="shared" si="1100"/>
        <v>0</v>
      </c>
      <c r="Z184" s="69">
        <f t="shared" si="1100"/>
        <v>0</v>
      </c>
      <c r="AA184" s="69">
        <f t="shared" si="1100"/>
        <v>0</v>
      </c>
      <c r="AB184" s="69">
        <f t="shared" si="1100"/>
        <v>0</v>
      </c>
      <c r="AC184" s="69">
        <f t="shared" si="1100"/>
        <v>5669</v>
      </c>
      <c r="AD184" s="69">
        <f t="shared" si="1100"/>
        <v>18605.4713075334</v>
      </c>
      <c r="AE184" s="69"/>
      <c r="AF184" s="69">
        <f t="shared" ref="AF184:AL184" si="1101">AF185+AF186</f>
        <v>4.8279285850295803</v>
      </c>
      <c r="AG184" s="69">
        <f t="shared" si="1101"/>
        <v>22.550560991250599</v>
      </c>
      <c r="AH184" s="69">
        <f t="shared" si="1101"/>
        <v>16.799945298708099</v>
      </c>
      <c r="AI184" s="69">
        <f t="shared" si="1101"/>
        <v>5007.6770652852201</v>
      </c>
      <c r="AJ184" s="69">
        <f t="shared" si="1101"/>
        <v>102803.2</v>
      </c>
      <c r="AK184" s="69">
        <f t="shared" si="1101"/>
        <v>73.138864488338101</v>
      </c>
      <c r="AL184" s="69">
        <f t="shared" si="1101"/>
        <v>11356.93</v>
      </c>
      <c r="AM184" s="69">
        <v>352</v>
      </c>
      <c r="AN184" s="71">
        <v>8</v>
      </c>
      <c r="AO184" s="69">
        <f t="shared" ref="AO184:BA184" si="1102">AO185+AO186</f>
        <v>1279.1708007489899</v>
      </c>
      <c r="AP184" s="69">
        <f t="shared" si="1102"/>
        <v>3000</v>
      </c>
      <c r="AQ184" s="69"/>
      <c r="AR184" s="69">
        <f t="shared" si="1102"/>
        <v>160844</v>
      </c>
      <c r="AS184" s="69">
        <f t="shared" si="1102"/>
        <v>2203.2549391873499</v>
      </c>
      <c r="AT184" s="69">
        <f t="shared" si="1102"/>
        <v>3.5398999999999998</v>
      </c>
      <c r="AU184" s="69">
        <f t="shared" si="1102"/>
        <v>2570.3265568704501</v>
      </c>
      <c r="AV184" s="69">
        <f t="shared" si="1102"/>
        <v>7</v>
      </c>
      <c r="AW184" s="69">
        <f t="shared" si="1102"/>
        <v>7000</v>
      </c>
      <c r="AX184" s="69">
        <f t="shared" si="1102"/>
        <v>0</v>
      </c>
      <c r="AY184" s="69">
        <f t="shared" si="1102"/>
        <v>533.96000000000004</v>
      </c>
      <c r="AZ184" s="69">
        <f t="shared" si="1102"/>
        <v>0</v>
      </c>
      <c r="BA184" s="69">
        <f t="shared" si="1102"/>
        <v>0</v>
      </c>
      <c r="BB184" s="69"/>
      <c r="BC184" s="69">
        <f t="shared" ref="BC184:BK184" si="1103">BC185+BC186</f>
        <v>4400</v>
      </c>
      <c r="BD184" s="71">
        <f t="shared" si="1103"/>
        <v>242.54060822711301</v>
      </c>
      <c r="BE184" s="69">
        <f t="shared" si="1103"/>
        <v>3039.79650881527</v>
      </c>
      <c r="BF184" s="71" t="e">
        <f t="shared" si="1103"/>
        <v>#N/A</v>
      </c>
      <c r="BG184" s="69" t="e">
        <f t="shared" si="1103"/>
        <v>#N/A</v>
      </c>
      <c r="BH184" s="70" t="e">
        <f t="shared" si="1103"/>
        <v>#REF!</v>
      </c>
      <c r="BI184" s="70" t="e">
        <f t="shared" si="1103"/>
        <v>#REF!</v>
      </c>
      <c r="BJ184" s="183" t="e">
        <f t="shared" si="1103"/>
        <v>#REF!</v>
      </c>
      <c r="BK184" s="184">
        <f t="shared" si="1103"/>
        <v>47105.697178440598</v>
      </c>
      <c r="BL184" s="69">
        <v>55378</v>
      </c>
      <c r="BM184" s="184">
        <f>BM185+BM186</f>
        <v>50286.632413845597</v>
      </c>
      <c r="BN184" s="184">
        <f>BN185+BN186</f>
        <v>-3180.9352354049402</v>
      </c>
      <c r="BO184" s="43">
        <f t="shared" si="950"/>
        <v>-6.3256079850937105e-002</v>
      </c>
      <c r="BP184" s="185"/>
    </row>
    <row r="185" s="5" customFormat="1" ht="17" customHeight="1">
      <c r="A185" s="44"/>
      <c r="B185" s="72" t="s">
        <v>223</v>
      </c>
      <c r="C185" s="46">
        <v>2</v>
      </c>
      <c r="D185" s="46"/>
      <c r="E185" s="46"/>
      <c r="F185" s="46"/>
      <c r="G185" s="73"/>
      <c r="H185" s="73"/>
      <c r="I185" s="73"/>
      <c r="J185" s="73"/>
      <c r="K185" s="73"/>
      <c r="L185" s="73"/>
      <c r="M185" s="73"/>
      <c r="N185" s="73"/>
      <c r="O185" s="73"/>
      <c r="P185" s="59">
        <f t="shared" ref="P185:P194" si="1104">SUM(Q185:U185)</f>
        <v>0</v>
      </c>
      <c r="Q185" s="59">
        <f t="shared" ref="Q185:Q194" si="1105">IF(D185="",O185*0.2,0)</f>
        <v>0</v>
      </c>
      <c r="R185" s="59">
        <f t="shared" ref="R185:R194" si="1106">IF(D185=2017,O185*0.4,0)</f>
        <v>0</v>
      </c>
      <c r="S185" s="59">
        <f t="shared" ref="S185:S194" si="1107">IF(D185=2018,O185*0.6,0)</f>
        <v>0</v>
      </c>
      <c r="T185" s="59">
        <f t="shared" ref="T185:T194" si="1108">IF(D185=2019,O185*0.8,0)</f>
        <v>0</v>
      </c>
      <c r="U185" s="59">
        <f t="shared" ref="U185:U194" si="1109">IF(D185=2020,O185*1,0)</f>
        <v>0</v>
      </c>
      <c r="V185" s="59"/>
      <c r="W185" s="59"/>
      <c r="X185" s="59"/>
      <c r="Y185" s="59">
        <f>T185*0.4+U185*0.6+V185*0.8+X185*1</f>
        <v>0</v>
      </c>
      <c r="Z185" s="59"/>
      <c r="AA185" s="59"/>
      <c r="AB185" s="59"/>
      <c r="AC185" s="59"/>
      <c r="AD185" s="59"/>
      <c r="AE185" s="59"/>
      <c r="AF185" s="62"/>
      <c r="AG185" s="62"/>
      <c r="AH185" s="62"/>
      <c r="AI185" s="59"/>
      <c r="AJ185" s="59"/>
      <c r="AK185" s="59"/>
      <c r="AL185" s="59"/>
      <c r="AM185" s="59"/>
      <c r="AN185" s="62"/>
      <c r="AO185" s="59"/>
      <c r="AP185" s="59"/>
      <c r="AQ185" s="59"/>
      <c r="AR185" s="59"/>
      <c r="AS185" s="59"/>
      <c r="AT185" s="59"/>
      <c r="AU185" s="59"/>
      <c r="AV185" s="59"/>
      <c r="AW185" s="59"/>
      <c r="AX185" s="59"/>
      <c r="AY185" s="62"/>
      <c r="AZ185" s="62"/>
      <c r="BA185" s="59"/>
      <c r="BB185" s="59"/>
      <c r="BC185" s="59"/>
      <c r="BD185" s="62"/>
      <c r="BE185" s="59"/>
      <c r="BF185" s="62"/>
      <c r="BG185" s="59"/>
      <c r="BH185" s="53"/>
      <c r="BI185" s="59"/>
      <c r="BJ185" s="182"/>
      <c r="BK185" s="170"/>
      <c r="BL185" s="73"/>
      <c r="BM185" s="170"/>
      <c r="BN185" s="50"/>
      <c r="BO185" s="43"/>
      <c r="BP185" s="4"/>
    </row>
    <row r="186" s="74" customFormat="1" ht="17" customHeight="1">
      <c r="A186" s="75"/>
      <c r="B186" s="76" t="s">
        <v>76</v>
      </c>
      <c r="C186" s="77">
        <v>3</v>
      </c>
      <c r="D186" s="77"/>
      <c r="E186" s="77"/>
      <c r="F186" s="78"/>
      <c r="G186" s="79" t="e">
        <f t="shared" ref="G186:M186" si="1110">SUM(G187:G194)</f>
        <v>#REF!</v>
      </c>
      <c r="H186" s="79" t="e">
        <f t="shared" si="1110"/>
        <v>#REF!</v>
      </c>
      <c r="I186" s="79" t="e">
        <f t="shared" si="1110"/>
        <v>#REF!</v>
      </c>
      <c r="J186" s="79" t="e">
        <f t="shared" si="1110"/>
        <v>#REF!</v>
      </c>
      <c r="K186" s="79" t="e">
        <f t="shared" si="1110"/>
        <v>#REF!</v>
      </c>
      <c r="L186" s="79" t="e">
        <f t="shared" si="1110"/>
        <v>#REF!</v>
      </c>
      <c r="M186" s="79">
        <f t="shared" si="1110"/>
        <v>55378</v>
      </c>
      <c r="N186" s="79">
        <v>10517</v>
      </c>
      <c r="O186" s="79">
        <f t="shared" ref="O186:AD186" si="1111">SUM(O187:O194)</f>
        <v>332572</v>
      </c>
      <c r="P186" s="79">
        <f t="shared" si="1111"/>
        <v>200588.39999999999</v>
      </c>
      <c r="Q186" s="79">
        <f t="shared" si="1111"/>
        <v>0</v>
      </c>
      <c r="R186" s="79">
        <f t="shared" si="1111"/>
        <v>17008.400000000001</v>
      </c>
      <c r="S186" s="79">
        <f t="shared" si="1111"/>
        <v>145382.39999999999</v>
      </c>
      <c r="T186" s="79">
        <f t="shared" si="1111"/>
        <v>38197.599999999999</v>
      </c>
      <c r="U186" s="79">
        <f t="shared" si="1111"/>
        <v>0</v>
      </c>
      <c r="V186" s="79">
        <f t="shared" si="1111"/>
        <v>38323</v>
      </c>
      <c r="W186" s="79">
        <f t="shared" si="1111"/>
        <v>28160</v>
      </c>
      <c r="X186" s="79">
        <f t="shared" si="1111"/>
        <v>21233</v>
      </c>
      <c r="Y186" s="79">
        <f t="shared" si="1111"/>
        <v>0</v>
      </c>
      <c r="Z186" s="79">
        <f t="shared" si="1111"/>
        <v>0</v>
      </c>
      <c r="AA186" s="79">
        <f t="shared" si="1111"/>
        <v>0</v>
      </c>
      <c r="AB186" s="79">
        <f t="shared" si="1111"/>
        <v>0</v>
      </c>
      <c r="AC186" s="79">
        <f t="shared" si="1111"/>
        <v>5669</v>
      </c>
      <c r="AD186" s="79">
        <f t="shared" si="1111"/>
        <v>18605.4713075334</v>
      </c>
      <c r="AE186" s="79"/>
      <c r="AF186" s="79">
        <f t="shared" ref="AF186:AL186" si="1112">SUM(AF187:AF194)</f>
        <v>4.8279285850295803</v>
      </c>
      <c r="AG186" s="79">
        <f t="shared" si="1112"/>
        <v>22.550560991250599</v>
      </c>
      <c r="AH186" s="79">
        <f t="shared" si="1112"/>
        <v>16.799945298708099</v>
      </c>
      <c r="AI186" s="79">
        <f t="shared" si="1112"/>
        <v>5007.6770652852201</v>
      </c>
      <c r="AJ186" s="79">
        <f t="shared" si="1112"/>
        <v>102803.2</v>
      </c>
      <c r="AK186" s="79">
        <f t="shared" si="1112"/>
        <v>73.138864488338101</v>
      </c>
      <c r="AL186" s="79">
        <f t="shared" si="1112"/>
        <v>11356.93</v>
      </c>
      <c r="AM186" s="79">
        <v>352</v>
      </c>
      <c r="AN186" s="81">
        <v>8</v>
      </c>
      <c r="AO186" s="79">
        <f t="shared" ref="AO186:BA186" si="1113">SUM(AO187:AO194)</f>
        <v>1279.1708007489899</v>
      </c>
      <c r="AP186" s="79">
        <f t="shared" si="1113"/>
        <v>3000</v>
      </c>
      <c r="AQ186" s="79"/>
      <c r="AR186" s="79">
        <f t="shared" si="1113"/>
        <v>160844</v>
      </c>
      <c r="AS186" s="79">
        <f t="shared" si="1113"/>
        <v>2203.2549391873499</v>
      </c>
      <c r="AT186" s="79">
        <f t="shared" si="1113"/>
        <v>3.5398999999999998</v>
      </c>
      <c r="AU186" s="79">
        <f t="shared" si="1113"/>
        <v>2570.3265568704501</v>
      </c>
      <c r="AV186" s="79">
        <f t="shared" si="1113"/>
        <v>7</v>
      </c>
      <c r="AW186" s="79">
        <f t="shared" si="1113"/>
        <v>7000</v>
      </c>
      <c r="AX186" s="79">
        <f t="shared" si="1113"/>
        <v>0</v>
      </c>
      <c r="AY186" s="79">
        <f t="shared" si="1113"/>
        <v>533.96000000000004</v>
      </c>
      <c r="AZ186" s="79">
        <f t="shared" si="1113"/>
        <v>0</v>
      </c>
      <c r="BA186" s="79">
        <f t="shared" si="1113"/>
        <v>0</v>
      </c>
      <c r="BB186" s="79"/>
      <c r="BC186" s="79">
        <f t="shared" ref="BC186:BK186" si="1114">SUM(BC187:BC194)</f>
        <v>4400</v>
      </c>
      <c r="BD186" s="81">
        <f t="shared" si="1114"/>
        <v>242.54060822711301</v>
      </c>
      <c r="BE186" s="79">
        <f t="shared" si="1114"/>
        <v>3039.79650881527</v>
      </c>
      <c r="BF186" s="81" t="e">
        <f t="shared" si="1114"/>
        <v>#N/A</v>
      </c>
      <c r="BG186" s="79" t="e">
        <f t="shared" si="1114"/>
        <v>#N/A</v>
      </c>
      <c r="BH186" s="80" t="e">
        <f t="shared" si="1114"/>
        <v>#REF!</v>
      </c>
      <c r="BI186" s="80" t="e">
        <f t="shared" si="1114"/>
        <v>#REF!</v>
      </c>
      <c r="BJ186" s="186" t="e">
        <f t="shared" si="1114"/>
        <v>#REF!</v>
      </c>
      <c r="BK186" s="187">
        <f t="shared" si="1114"/>
        <v>47105.697178440598</v>
      </c>
      <c r="BL186" s="79">
        <v>55378</v>
      </c>
      <c r="BM186" s="187">
        <f>SUM(BM187:BM194)</f>
        <v>50286.632413845597</v>
      </c>
      <c r="BN186" s="187">
        <f>SUM(BN187:BN194)</f>
        <v>-3180.9352354049402</v>
      </c>
      <c r="BO186" s="43">
        <f t="shared" si="950"/>
        <v>-6.3256079850937105e-002</v>
      </c>
      <c r="BP186" s="188"/>
    </row>
    <row r="187" ht="17" customHeight="1">
      <c r="A187" s="46">
        <v>122</v>
      </c>
      <c r="B187" s="82" t="s">
        <v>225</v>
      </c>
      <c r="C187" s="46" t="s">
        <v>90</v>
      </c>
      <c r="D187" s="46">
        <v>2018</v>
      </c>
      <c r="E187" s="46" t="s">
        <v>91</v>
      </c>
      <c r="F187" s="46"/>
      <c r="G187" s="73" t="e">
        <f>VLOOKUP(B:B,#REF!,2,0)</f>
        <v>#REF!</v>
      </c>
      <c r="H187" s="73" t="e">
        <f t="shared" ref="H187:H194" si="1115">G187*299423/381298.76</f>
        <v>#REF!</v>
      </c>
      <c r="I187" s="59" t="e">
        <f>VLOOKUP(B187,#REF!,4,0)</f>
        <v>#REF!</v>
      </c>
      <c r="J187" s="59" t="e">
        <f>VLOOKUP(B187,#REF!,2,0)</f>
        <v>#REF!</v>
      </c>
      <c r="K187" s="73" t="e">
        <f t="shared" ref="K187:K194" si="1116">I187*1485211/1408452</f>
        <v>#REF!</v>
      </c>
      <c r="L187" s="73" t="e">
        <f t="shared" ref="L187:L194" si="1117">J187*1485211/1408452</f>
        <v>#REF!</v>
      </c>
      <c r="M187" s="59">
        <v>8455</v>
      </c>
      <c r="N187" s="59">
        <v>1404</v>
      </c>
      <c r="O187" s="73">
        <v>67610</v>
      </c>
      <c r="P187" s="59">
        <f t="shared" si="1104"/>
        <v>40566</v>
      </c>
      <c r="Q187" s="59">
        <f t="shared" si="1105"/>
        <v>0</v>
      </c>
      <c r="R187" s="59">
        <f t="shared" si="1106"/>
        <v>0</v>
      </c>
      <c r="S187" s="59">
        <f t="shared" si="1107"/>
        <v>40566</v>
      </c>
      <c r="T187" s="59">
        <f t="shared" si="1108"/>
        <v>0</v>
      </c>
      <c r="U187" s="59">
        <f t="shared" si="1109"/>
        <v>0</v>
      </c>
      <c r="V187" s="59">
        <v>7366</v>
      </c>
      <c r="W187" s="59">
        <f>V187*1</f>
        <v>7366</v>
      </c>
      <c r="X187" s="59">
        <v>3875</v>
      </c>
      <c r="Y187" s="59">
        <f t="shared" ref="Y187:Y194" si="1118">Z187+AA187+AB187*1.2</f>
        <v>0</v>
      </c>
      <c r="Z187" s="59"/>
      <c r="AA187" s="59"/>
      <c r="AB187" s="59"/>
      <c r="AC187" s="59">
        <v>1831</v>
      </c>
      <c r="AD187" s="59">
        <f t="shared" ref="AD187:AD194" si="1119">O187/$O$9*202299+W187/$W$9*134866+AC187/$AC$9*34867+X187/$X$9*100000</f>
        <v>4191.0980033346405</v>
      </c>
      <c r="AE187" s="59">
        <v>11668.25</v>
      </c>
      <c r="AF187" s="62">
        <f t="shared" ref="AF187:AF194" si="1120">($AE$64-AE187)/($AE$64-$AE$44)</f>
        <v>0.64390465094513205</v>
      </c>
      <c r="AG187" s="62">
        <f t="shared" ref="AG187:AG194" si="1121">(O187+V187)*AF187/10000</f>
        <v>4.8277395109262198</v>
      </c>
      <c r="AH187" s="62">
        <f>AG187*1</f>
        <v>4.8277395109262198</v>
      </c>
      <c r="AI187" s="59">
        <f t="shared" ref="AI187:AI194" si="1122">AH187/$AH$9*1348663*0.1</f>
        <v>1439.0380442426599</v>
      </c>
      <c r="AJ187" s="59">
        <f>P187</f>
        <v>40566</v>
      </c>
      <c r="AK187" s="59">
        <f>AJ187/$AJ$9*2859</f>
        <v>28.860494389609698</v>
      </c>
      <c r="AL187" s="59">
        <v>2063.2800000000002</v>
      </c>
      <c r="AM187" s="59">
        <v>80</v>
      </c>
      <c r="AN187" s="62">
        <v>1</v>
      </c>
      <c r="AO187" s="59">
        <f t="shared" ref="AO187:AO194" si="1123">(AL187/$AL$9*80000)</f>
        <v>232.39445252981099</v>
      </c>
      <c r="AP187" s="59"/>
      <c r="AQ187" s="59"/>
      <c r="AR187" s="59">
        <v>29405</v>
      </c>
      <c r="AS187" s="59">
        <f t="shared" ref="AS187:AS194" si="1124">AR187/$AR$9*50000</f>
        <v>402.79221784340098</v>
      </c>
      <c r="AT187" s="189">
        <v>0.63149999999999995</v>
      </c>
      <c r="AU187" s="59">
        <f t="shared" ref="AU187:AU194" si="1125">AT187/$AT$9*50000</f>
        <v>458.53307174318098</v>
      </c>
      <c r="AV187" s="59">
        <v>2</v>
      </c>
      <c r="AW187" s="59">
        <f t="shared" ref="AW187:AW192" si="1126">AV187*1000</f>
        <v>2000</v>
      </c>
      <c r="AX187" s="59"/>
      <c r="AY187" s="62">
        <v>74.890000000000001</v>
      </c>
      <c r="AZ187" s="62" t="s">
        <v>440</v>
      </c>
      <c r="BA187" s="59"/>
      <c r="BB187" s="59" t="s">
        <v>443</v>
      </c>
      <c r="BC187" s="59"/>
      <c r="BD187" s="62">
        <v>33.543515589099997</v>
      </c>
      <c r="BE187" s="59">
        <f t="shared" ref="BE187:BE194" si="1127">BD187/$BD$9*42266</f>
        <v>420.40573051444301</v>
      </c>
      <c r="BF187" s="62" t="e">
        <f>VLOOKUP(B187,'2022年项目库建设情况'!B:O,14,0)</f>
        <v>#N/A</v>
      </c>
      <c r="BG187" s="59" t="e">
        <f t="shared" ref="BG187:BG194" si="1128">BF187/$BF$9*1348663*0.025</f>
        <v>#N/A</v>
      </c>
      <c r="BH187" s="53" t="e">
        <f>ROUND(AI187+AD187+#REF!+#REF!+BE187+BG187,0)</f>
        <v>#REF!</v>
      </c>
      <c r="BI187" s="59" t="e">
        <f t="shared" ref="BI187:BI194" si="1129">N187-G187</f>
        <v>#REF!</v>
      </c>
      <c r="BJ187" s="167" t="e">
        <f t="shared" ref="BJ187:BJ194" si="1130">BI187/G187</f>
        <v>#REF!</v>
      </c>
      <c r="BK187" s="170">
        <f t="shared" ref="BK187:BK194" si="1131">AD187+AI187+AO187+AP187+AS187+AU187+AW187+AX187+BA187+BC187+BE187</f>
        <v>9144.2615202081397</v>
      </c>
      <c r="BL187" s="59">
        <v>8455</v>
      </c>
      <c r="BM187" s="59">
        <f t="shared" ref="BM187:BM194" si="1132">BL187/$BL$9*1348663</f>
        <v>7677.6603896685401</v>
      </c>
      <c r="BN187" s="59">
        <f t="shared" ref="BN187:BN194" si="1133">BK187-BM187</f>
        <v>1466.6011305396</v>
      </c>
      <c r="BO187" s="43">
        <f t="shared" si="950"/>
        <v>0.191021881159674</v>
      </c>
    </row>
    <row r="188" ht="17" customHeight="1">
      <c r="A188" s="46">
        <v>123</v>
      </c>
      <c r="B188" s="82" t="s">
        <v>226</v>
      </c>
      <c r="C188" s="46" t="s">
        <v>90</v>
      </c>
      <c r="D188" s="46">
        <v>2017</v>
      </c>
      <c r="E188" s="46"/>
      <c r="F188" s="46"/>
      <c r="G188" s="73" t="e">
        <f>VLOOKUP(B:B,#REF!,2,0)</f>
        <v>#REF!</v>
      </c>
      <c r="H188" s="73" t="e">
        <f t="shared" si="1115"/>
        <v>#REF!</v>
      </c>
      <c r="I188" s="59" t="e">
        <f>VLOOKUP(B188,#REF!,4,0)</f>
        <v>#REF!</v>
      </c>
      <c r="J188" s="59" t="e">
        <f>VLOOKUP(B188,#REF!,2,0)</f>
        <v>#REF!</v>
      </c>
      <c r="K188" s="73" t="e">
        <f t="shared" si="1116"/>
        <v>#REF!</v>
      </c>
      <c r="L188" s="73" t="e">
        <f t="shared" si="1117"/>
        <v>#REF!</v>
      </c>
      <c r="M188" s="59">
        <v>3360</v>
      </c>
      <c r="N188" s="59">
        <v>531</v>
      </c>
      <c r="O188" s="73">
        <v>42521</v>
      </c>
      <c r="P188" s="59">
        <f t="shared" si="1104"/>
        <v>17008.400000000001</v>
      </c>
      <c r="Q188" s="59">
        <f t="shared" si="1105"/>
        <v>0</v>
      </c>
      <c r="R188" s="59">
        <f t="shared" si="1106"/>
        <v>17008.400000000001</v>
      </c>
      <c r="S188" s="59">
        <f t="shared" si="1107"/>
        <v>0</v>
      </c>
      <c r="T188" s="59">
        <f t="shared" si="1108"/>
        <v>0</v>
      </c>
      <c r="U188" s="59">
        <f t="shared" si="1109"/>
        <v>0</v>
      </c>
      <c r="V188" s="59">
        <v>5322</v>
      </c>
      <c r="W188" s="59">
        <f t="shared" ref="W188:W193" si="1134">V188*0.5</f>
        <v>2661</v>
      </c>
      <c r="X188" s="59">
        <v>1690</v>
      </c>
      <c r="Y188" s="59">
        <f t="shared" si="1118"/>
        <v>0</v>
      </c>
      <c r="Z188" s="59"/>
      <c r="AA188" s="59"/>
      <c r="AB188" s="59"/>
      <c r="AC188" s="59">
        <v>0</v>
      </c>
      <c r="AD188" s="59">
        <f t="shared" si="1119"/>
        <v>1937.0966851409601</v>
      </c>
      <c r="AE188" s="59">
        <v>11899.709999999999</v>
      </c>
      <c r="AF188" s="62">
        <f t="shared" si="1120"/>
        <v>0.60655444068277997</v>
      </c>
      <c r="AG188" s="62">
        <f t="shared" si="1121"/>
        <v>2.9019384105586199</v>
      </c>
      <c r="AH188" s="62">
        <f t="shared" ref="AH188:AH193" si="1135">AG188*0.5</f>
        <v>1.4509692052793099</v>
      </c>
      <c r="AI188" s="59">
        <f t="shared" si="1122"/>
        <v>432.50052797916499</v>
      </c>
      <c r="AJ188" s="59"/>
      <c r="AK188" s="59"/>
      <c r="AL188" s="59">
        <v>540.89999999999998</v>
      </c>
      <c r="AM188" s="59">
        <v>60</v>
      </c>
      <c r="AN188" s="62">
        <v>1</v>
      </c>
      <c r="AO188" s="59">
        <f t="shared" si="1123"/>
        <v>60.923461368973001</v>
      </c>
      <c r="AP188" s="59"/>
      <c r="AQ188" s="59"/>
      <c r="AR188" s="59">
        <v>21042</v>
      </c>
      <c r="AS188" s="59">
        <f t="shared" si="1124"/>
        <v>288.235124905997</v>
      </c>
      <c r="AT188" s="189">
        <v>0.52129999999999999</v>
      </c>
      <c r="AU188" s="59">
        <f t="shared" si="1125"/>
        <v>378.51669089425201</v>
      </c>
      <c r="AV188" s="59">
        <v>1</v>
      </c>
      <c r="AW188" s="59">
        <f t="shared" si="1126"/>
        <v>1000</v>
      </c>
      <c r="AX188" s="59"/>
      <c r="AY188" s="62">
        <v>60.530000000000001</v>
      </c>
      <c r="AZ188" s="62" t="s">
        <v>440</v>
      </c>
      <c r="BA188" s="59"/>
      <c r="BB188" s="59" t="s">
        <v>441</v>
      </c>
      <c r="BC188" s="59">
        <v>800</v>
      </c>
      <c r="BD188" s="62">
        <v>32.377261464369298</v>
      </c>
      <c r="BE188" s="59">
        <f t="shared" si="1127"/>
        <v>405.78889895513498</v>
      </c>
      <c r="BF188" s="62" t="e">
        <f>VLOOKUP(B188,'2022年项目库建设情况'!B:O,14,0)</f>
        <v>#N/A</v>
      </c>
      <c r="BG188" s="59" t="e">
        <f t="shared" si="1128"/>
        <v>#N/A</v>
      </c>
      <c r="BH188" s="53" t="e">
        <f>ROUND(AI188+AD188+#REF!+#REF!+BE188+BG188,0)</f>
        <v>#REF!</v>
      </c>
      <c r="BI188" s="59" t="e">
        <f t="shared" si="1129"/>
        <v>#REF!</v>
      </c>
      <c r="BJ188" s="167" t="e">
        <f t="shared" si="1130"/>
        <v>#REF!</v>
      </c>
      <c r="BK188" s="170">
        <f t="shared" si="1131"/>
        <v>5303.0613892444799</v>
      </c>
      <c r="BL188" s="59">
        <v>3360</v>
      </c>
      <c r="BM188" s="59">
        <f t="shared" si="1132"/>
        <v>3051.08680180796</v>
      </c>
      <c r="BN188" s="59">
        <f t="shared" si="1133"/>
        <v>2251.9745874365199</v>
      </c>
      <c r="BO188" s="43">
        <f t="shared" si="950"/>
        <v>0.73808932151719997</v>
      </c>
    </row>
    <row r="189" ht="17" customHeight="1">
      <c r="A189" s="46">
        <v>124</v>
      </c>
      <c r="B189" s="82" t="s">
        <v>224</v>
      </c>
      <c r="C189" s="46" t="s">
        <v>90</v>
      </c>
      <c r="D189" s="46">
        <v>2018</v>
      </c>
      <c r="E189" s="46"/>
      <c r="F189" s="46"/>
      <c r="G189" s="73" t="e">
        <f>VLOOKUP(B:B,#REF!,2,0)</f>
        <v>#REF!</v>
      </c>
      <c r="H189" s="73" t="e">
        <f t="shared" si="1115"/>
        <v>#REF!</v>
      </c>
      <c r="I189" s="59" t="e">
        <f>VLOOKUP(B189,#REF!,4,0)</f>
        <v>#REF!</v>
      </c>
      <c r="J189" s="59" t="e">
        <f>VLOOKUP(B189,#REF!,2,0)</f>
        <v>#REF!</v>
      </c>
      <c r="K189" s="73" t="e">
        <f t="shared" si="1116"/>
        <v>#REF!</v>
      </c>
      <c r="L189" s="73" t="e">
        <f t="shared" si="1117"/>
        <v>#REF!</v>
      </c>
      <c r="M189" s="59">
        <v>3594</v>
      </c>
      <c r="N189" s="59">
        <v>698</v>
      </c>
      <c r="O189" s="73">
        <v>38517</v>
      </c>
      <c r="P189" s="59">
        <f t="shared" si="1104"/>
        <v>23110.200000000001</v>
      </c>
      <c r="Q189" s="59">
        <f t="shared" si="1105"/>
        <v>0</v>
      </c>
      <c r="R189" s="59">
        <f t="shared" si="1106"/>
        <v>0</v>
      </c>
      <c r="S189" s="59">
        <f t="shared" si="1107"/>
        <v>23110.200000000001</v>
      </c>
      <c r="T189" s="59">
        <f t="shared" si="1108"/>
        <v>0</v>
      </c>
      <c r="U189" s="59">
        <f t="shared" si="1109"/>
        <v>0</v>
      </c>
      <c r="V189" s="59">
        <v>4272</v>
      </c>
      <c r="W189" s="59">
        <f t="shared" si="1134"/>
        <v>2136</v>
      </c>
      <c r="X189" s="59">
        <v>4109</v>
      </c>
      <c r="Y189" s="59">
        <f t="shared" si="1118"/>
        <v>0</v>
      </c>
      <c r="Z189" s="59"/>
      <c r="AA189" s="59"/>
      <c r="AB189" s="59"/>
      <c r="AC189" s="59">
        <v>827</v>
      </c>
      <c r="AD189" s="59">
        <f t="shared" si="1119"/>
        <v>2160.0541382169599</v>
      </c>
      <c r="AE189" s="59">
        <v>12342.84</v>
      </c>
      <c r="AF189" s="62">
        <f t="shared" si="1120"/>
        <v>0.53504749056804701</v>
      </c>
      <c r="AG189" s="62">
        <f t="shared" si="1121"/>
        <v>2.2894147073916198</v>
      </c>
      <c r="AH189" s="62">
        <f t="shared" si="1135"/>
        <v>1.1447073536958099</v>
      </c>
      <c r="AI189" s="59">
        <f t="shared" si="1122"/>
        <v>341.210918228803</v>
      </c>
      <c r="AJ189" s="59"/>
      <c r="AK189" s="59"/>
      <c r="AL189" s="59">
        <v>3068.3000000000002</v>
      </c>
      <c r="AM189" s="59">
        <v>58</v>
      </c>
      <c r="AN189" s="62">
        <v>1</v>
      </c>
      <c r="AO189" s="59">
        <f t="shared" si="1123"/>
        <v>345.593374964725</v>
      </c>
      <c r="AP189" s="59"/>
      <c r="AQ189" s="59"/>
      <c r="AR189" s="59">
        <v>20603</v>
      </c>
      <c r="AS189" s="59">
        <f t="shared" si="1124"/>
        <v>282.22166516672598</v>
      </c>
      <c r="AT189" s="189">
        <v>0.51229999999999998</v>
      </c>
      <c r="AU189" s="59">
        <f t="shared" si="1125"/>
        <v>371.98177775776998</v>
      </c>
      <c r="AV189" s="59">
        <v>1</v>
      </c>
      <c r="AW189" s="59">
        <f t="shared" si="1126"/>
        <v>1000</v>
      </c>
      <c r="AX189" s="59"/>
      <c r="AY189" s="62">
        <v>74.340000000000003</v>
      </c>
      <c r="AZ189" s="62" t="s">
        <v>440</v>
      </c>
      <c r="BA189" s="59"/>
      <c r="BB189" s="59" t="s">
        <v>441</v>
      </c>
      <c r="BC189" s="59">
        <v>800</v>
      </c>
      <c r="BD189" s="62">
        <v>32.511095561640602</v>
      </c>
      <c r="BE189" s="59">
        <f t="shared" si="1127"/>
        <v>407.46626104563001</v>
      </c>
      <c r="BF189" s="62" t="e">
        <f>VLOOKUP(B189,'2022年项目库建设情况'!B:O,14,0)</f>
        <v>#N/A</v>
      </c>
      <c r="BG189" s="59" t="e">
        <f t="shared" si="1128"/>
        <v>#N/A</v>
      </c>
      <c r="BH189" s="53" t="e">
        <f>ROUND(AI189+AD189+#REF!+#REF!+BE189+BG189,0)</f>
        <v>#REF!</v>
      </c>
      <c r="BI189" s="59" t="e">
        <f t="shared" si="1129"/>
        <v>#REF!</v>
      </c>
      <c r="BJ189" s="167" t="e">
        <f t="shared" si="1130"/>
        <v>#REF!</v>
      </c>
      <c r="BK189" s="170">
        <f t="shared" si="1131"/>
        <v>5708.5281353806104</v>
      </c>
      <c r="BL189" s="59">
        <v>3594</v>
      </c>
      <c r="BM189" s="59">
        <f t="shared" si="1132"/>
        <v>3263.5732040767298</v>
      </c>
      <c r="BN189" s="59">
        <f t="shared" si="1133"/>
        <v>2444.9549313038801</v>
      </c>
      <c r="BO189" s="43">
        <f t="shared" si="950"/>
        <v>0.74916503427891301</v>
      </c>
    </row>
    <row r="190" ht="17" customHeight="1">
      <c r="A190" s="46">
        <v>125</v>
      </c>
      <c r="B190" s="82" t="s">
        <v>227</v>
      </c>
      <c r="C190" s="46" t="s">
        <v>90</v>
      </c>
      <c r="D190" s="46">
        <v>2019</v>
      </c>
      <c r="E190" s="46" t="s">
        <v>91</v>
      </c>
      <c r="F190" s="46"/>
      <c r="G190" s="73" t="e">
        <f>VLOOKUP(B:B,#REF!,2,0)</f>
        <v>#REF!</v>
      </c>
      <c r="H190" s="73" t="e">
        <f t="shared" si="1115"/>
        <v>#REF!</v>
      </c>
      <c r="I190" s="59" t="e">
        <f>VLOOKUP(B190,#REF!,4,0)</f>
        <v>#REF!</v>
      </c>
      <c r="J190" s="59" t="e">
        <f>VLOOKUP(B190,#REF!,2,0)</f>
        <v>#REF!</v>
      </c>
      <c r="K190" s="73" t="e">
        <f t="shared" si="1116"/>
        <v>#REF!</v>
      </c>
      <c r="L190" s="73" t="e">
        <f t="shared" si="1117"/>
        <v>#REF!</v>
      </c>
      <c r="M190" s="59">
        <v>6875</v>
      </c>
      <c r="N190" s="59">
        <v>1128</v>
      </c>
      <c r="O190" s="73">
        <v>47747</v>
      </c>
      <c r="P190" s="59">
        <f t="shared" si="1104"/>
        <v>38197.599999999999</v>
      </c>
      <c r="Q190" s="59">
        <f t="shared" si="1105"/>
        <v>0</v>
      </c>
      <c r="R190" s="59">
        <f t="shared" si="1106"/>
        <v>0</v>
      </c>
      <c r="S190" s="59">
        <f t="shared" si="1107"/>
        <v>0</v>
      </c>
      <c r="T190" s="59">
        <f t="shared" si="1108"/>
        <v>38197.599999999999</v>
      </c>
      <c r="U190" s="59">
        <f t="shared" si="1109"/>
        <v>0</v>
      </c>
      <c r="V190" s="59">
        <v>5243</v>
      </c>
      <c r="W190" s="59">
        <f>V190*1</f>
        <v>5243</v>
      </c>
      <c r="X190" s="59">
        <v>446</v>
      </c>
      <c r="Y190" s="59">
        <f t="shared" si="1118"/>
        <v>0</v>
      </c>
      <c r="Z190" s="59"/>
      <c r="AA190" s="59"/>
      <c r="AB190" s="59"/>
      <c r="AC190" s="59">
        <v>1186</v>
      </c>
      <c r="AD190" s="59">
        <f t="shared" si="1119"/>
        <v>2711.8629439230999</v>
      </c>
      <c r="AE190" s="59">
        <v>11861.950000000001</v>
      </c>
      <c r="AF190" s="62">
        <f t="shared" si="1120"/>
        <v>0.612647691955166</v>
      </c>
      <c r="AG190" s="62">
        <f t="shared" si="1121"/>
        <v>3.2464201196704199</v>
      </c>
      <c r="AH190" s="62">
        <f>AG190*1</f>
        <v>3.2464201196704199</v>
      </c>
      <c r="AI190" s="59">
        <f t="shared" si="1122"/>
        <v>967.68312565900101</v>
      </c>
      <c r="AJ190" s="59">
        <f>P190</f>
        <v>38197.599999999999</v>
      </c>
      <c r="AK190" s="59">
        <f>AJ190/$AJ$9*2859</f>
        <v>27.175507087130999</v>
      </c>
      <c r="AL190" s="59">
        <v>2441.1399999999999</v>
      </c>
      <c r="AM190" s="59">
        <v>45</v>
      </c>
      <c r="AN190" s="62">
        <v>1</v>
      </c>
      <c r="AO190" s="59">
        <f t="shared" si="1123"/>
        <v>274.95414769135601</v>
      </c>
      <c r="AP190" s="59">
        <v>3000</v>
      </c>
      <c r="AQ190" s="59"/>
      <c r="AR190" s="59">
        <v>24490</v>
      </c>
      <c r="AS190" s="59">
        <f t="shared" si="1124"/>
        <v>335.46612531830903</v>
      </c>
      <c r="AT190" s="189">
        <v>0.56389999999999996</v>
      </c>
      <c r="AU190" s="59">
        <f t="shared" si="1125"/>
        <v>409.44861307360202</v>
      </c>
      <c r="AV190" s="59">
        <v>2</v>
      </c>
      <c r="AW190" s="59">
        <f t="shared" si="1126"/>
        <v>2000</v>
      </c>
      <c r="AX190" s="59"/>
      <c r="AY190" s="62">
        <v>66.989999999999995</v>
      </c>
      <c r="AZ190" s="62" t="s">
        <v>440</v>
      </c>
      <c r="BA190" s="59"/>
      <c r="BB190" s="59" t="s">
        <v>441</v>
      </c>
      <c r="BC190" s="59">
        <v>1000</v>
      </c>
      <c r="BD190" s="62">
        <v>13.169856037989801</v>
      </c>
      <c r="BE190" s="59">
        <f t="shared" si="1127"/>
        <v>165.059709788449</v>
      </c>
      <c r="BF190" s="62" t="e">
        <f>VLOOKUP(B190,'2022年项目库建设情况'!B:O,14,0)</f>
        <v>#N/A</v>
      </c>
      <c r="BG190" s="59" t="e">
        <f t="shared" si="1128"/>
        <v>#N/A</v>
      </c>
      <c r="BH190" s="53" t="e">
        <f>ROUND(AI190+AD190+#REF!+#REF!+BE190+BG190,0)</f>
        <v>#REF!</v>
      </c>
      <c r="BI190" s="59" t="e">
        <f t="shared" si="1129"/>
        <v>#REF!</v>
      </c>
      <c r="BJ190" s="167" t="e">
        <f t="shared" si="1130"/>
        <v>#REF!</v>
      </c>
      <c r="BK190" s="170">
        <f t="shared" si="1131"/>
        <v>10864.474665453799</v>
      </c>
      <c r="BL190" s="59">
        <v>6875</v>
      </c>
      <c r="BM190" s="59">
        <f t="shared" si="1132"/>
        <v>6242.9231435802703</v>
      </c>
      <c r="BN190" s="59">
        <f t="shared" si="1133"/>
        <v>4621.55152187355</v>
      </c>
      <c r="BO190" s="43">
        <f t="shared" si="950"/>
        <v>0.74028646766635098</v>
      </c>
    </row>
    <row r="191" s="5" customFormat="1" ht="17" customHeight="1">
      <c r="A191" s="46">
        <v>126</v>
      </c>
      <c r="B191" s="82" t="s">
        <v>228</v>
      </c>
      <c r="C191" s="46" t="s">
        <v>90</v>
      </c>
      <c r="D191" s="46">
        <v>2018</v>
      </c>
      <c r="E191" s="46"/>
      <c r="F191" s="46" t="s">
        <v>146</v>
      </c>
      <c r="G191" s="73" t="e">
        <f>VLOOKUP(B:B,#REF!,2,0)</f>
        <v>#REF!</v>
      </c>
      <c r="H191" s="73" t="e">
        <f t="shared" si="1115"/>
        <v>#REF!</v>
      </c>
      <c r="I191" s="59" t="e">
        <f>VLOOKUP(B191,#REF!,4,0)</f>
        <v>#REF!</v>
      </c>
      <c r="J191" s="59" t="e">
        <f>VLOOKUP(B191,#REF!,2,0)</f>
        <v>#REF!</v>
      </c>
      <c r="K191" s="73" t="e">
        <f t="shared" si="1116"/>
        <v>#REF!</v>
      </c>
      <c r="L191" s="73" t="e">
        <f t="shared" si="1117"/>
        <v>#REF!</v>
      </c>
      <c r="M191" s="59">
        <v>9068</v>
      </c>
      <c r="N191" s="59">
        <v>2015</v>
      </c>
      <c r="O191" s="73">
        <v>32790</v>
      </c>
      <c r="P191" s="59">
        <f t="shared" si="1104"/>
        <v>19674</v>
      </c>
      <c r="Q191" s="59">
        <f t="shared" si="1105"/>
        <v>0</v>
      </c>
      <c r="R191" s="59">
        <f t="shared" si="1106"/>
        <v>0</v>
      </c>
      <c r="S191" s="59">
        <f t="shared" si="1107"/>
        <v>19674</v>
      </c>
      <c r="T191" s="59">
        <f t="shared" si="1108"/>
        <v>0</v>
      </c>
      <c r="U191" s="59">
        <f t="shared" si="1109"/>
        <v>0</v>
      </c>
      <c r="V191" s="59">
        <v>4495</v>
      </c>
      <c r="W191" s="59">
        <f t="shared" si="1134"/>
        <v>2247.5</v>
      </c>
      <c r="X191" s="59">
        <v>1212</v>
      </c>
      <c r="Y191" s="59">
        <f t="shared" si="1118"/>
        <v>0</v>
      </c>
      <c r="Z191" s="59"/>
      <c r="AA191" s="59"/>
      <c r="AB191" s="59"/>
      <c r="AC191" s="59">
        <v>651</v>
      </c>
      <c r="AD191" s="59">
        <f t="shared" si="1119"/>
        <v>1673.3632153649</v>
      </c>
      <c r="AE191" s="59">
        <v>12185.77</v>
      </c>
      <c r="AF191" s="62">
        <f t="shared" si="1120"/>
        <v>0.56039354399372598</v>
      </c>
      <c r="AG191" s="62">
        <f t="shared" si="1121"/>
        <v>2.08942732878061</v>
      </c>
      <c r="AH191" s="62">
        <f t="shared" si="1135"/>
        <v>1.0447136643902999</v>
      </c>
      <c r="AI191" s="59">
        <f t="shared" si="1122"/>
        <v>311.40510066778103</v>
      </c>
      <c r="AJ191" s="59"/>
      <c r="AK191" s="59"/>
      <c r="AL191" s="59">
        <v>447.10000000000002</v>
      </c>
      <c r="AM191" s="59">
        <v>25</v>
      </c>
      <c r="AN191" s="62">
        <v>1</v>
      </c>
      <c r="AO191" s="59">
        <f t="shared" si="1123"/>
        <v>50.358438857585199</v>
      </c>
      <c r="AP191" s="59"/>
      <c r="AQ191" s="59"/>
      <c r="AR191" s="59">
        <v>18505</v>
      </c>
      <c r="AS191" s="59">
        <f t="shared" si="1124"/>
        <v>253.483080809119</v>
      </c>
      <c r="AT191" s="189">
        <v>0.2928</v>
      </c>
      <c r="AU191" s="59">
        <f t="shared" si="1125"/>
        <v>212.60250737356</v>
      </c>
      <c r="AV191" s="59"/>
      <c r="AW191" s="59"/>
      <c r="AX191" s="59"/>
      <c r="AY191" s="62">
        <v>61.649999999999999</v>
      </c>
      <c r="AZ191" s="62" t="s">
        <v>440</v>
      </c>
      <c r="BA191" s="59"/>
      <c r="BB191" s="59" t="s">
        <v>443</v>
      </c>
      <c r="BC191" s="59"/>
      <c r="BD191" s="62">
        <v>34.449112122428502</v>
      </c>
      <c r="BE191" s="59">
        <f t="shared" si="1127"/>
        <v>431.75570279549498</v>
      </c>
      <c r="BF191" s="62" t="e">
        <f>VLOOKUP(B191,'2022年项目库建设情况'!B:O,14,0)</f>
        <v>#N/A</v>
      </c>
      <c r="BG191" s="59" t="e">
        <f t="shared" si="1128"/>
        <v>#N/A</v>
      </c>
      <c r="BH191" s="53" t="e">
        <f>ROUND(AI191+AD191+#REF!+#REF!+BE191+BG191,0)</f>
        <v>#REF!</v>
      </c>
      <c r="BI191" s="59" t="e">
        <f t="shared" si="1129"/>
        <v>#REF!</v>
      </c>
      <c r="BJ191" s="182" t="e">
        <f t="shared" si="1130"/>
        <v>#REF!</v>
      </c>
      <c r="BK191" s="170">
        <f t="shared" si="1131"/>
        <v>2932.9680458684502</v>
      </c>
      <c r="BL191" s="59">
        <v>9068</v>
      </c>
      <c r="BM191" s="59">
        <f t="shared" si="1132"/>
        <v>8234.30211868886</v>
      </c>
      <c r="BN191" s="59">
        <f t="shared" si="1133"/>
        <v>-5301.3340728204103</v>
      </c>
      <c r="BO191" s="43">
        <f t="shared" si="950"/>
        <v>-0.64381097467729798</v>
      </c>
      <c r="BP191" s="4"/>
    </row>
    <row r="192" ht="17" customHeight="1">
      <c r="A192" s="46">
        <v>127</v>
      </c>
      <c r="B192" s="82" t="s">
        <v>229</v>
      </c>
      <c r="C192" s="46" t="s">
        <v>90</v>
      </c>
      <c r="D192" s="46">
        <v>2018</v>
      </c>
      <c r="E192" s="46"/>
      <c r="F192" s="46"/>
      <c r="G192" s="73" t="e">
        <f>VLOOKUP(B:B,#REF!,2,0)</f>
        <v>#REF!</v>
      </c>
      <c r="H192" s="73" t="e">
        <f t="shared" si="1115"/>
        <v>#REF!</v>
      </c>
      <c r="I192" s="59" t="e">
        <f>VLOOKUP(B192,#REF!,4,0)</f>
        <v>#REF!</v>
      </c>
      <c r="J192" s="59" t="e">
        <f>VLOOKUP(B192,#REF!,2,0)</f>
        <v>#REF!</v>
      </c>
      <c r="K192" s="73" t="e">
        <f t="shared" si="1116"/>
        <v>#REF!</v>
      </c>
      <c r="L192" s="73" t="e">
        <f t="shared" si="1117"/>
        <v>#REF!</v>
      </c>
      <c r="M192" s="59">
        <v>2791</v>
      </c>
      <c r="N192" s="59">
        <v>536</v>
      </c>
      <c r="O192" s="73">
        <v>26354</v>
      </c>
      <c r="P192" s="59">
        <f t="shared" si="1104"/>
        <v>15812.4</v>
      </c>
      <c r="Q192" s="59">
        <f t="shared" si="1105"/>
        <v>0</v>
      </c>
      <c r="R192" s="59">
        <f t="shared" si="1106"/>
        <v>0</v>
      </c>
      <c r="S192" s="59">
        <f t="shared" si="1107"/>
        <v>15812.4</v>
      </c>
      <c r="T192" s="59">
        <f t="shared" si="1108"/>
        <v>0</v>
      </c>
      <c r="U192" s="59">
        <f t="shared" si="1109"/>
        <v>0</v>
      </c>
      <c r="V192" s="59">
        <v>2902</v>
      </c>
      <c r="W192" s="59">
        <f t="shared" si="1134"/>
        <v>1451</v>
      </c>
      <c r="X192" s="59">
        <v>3784</v>
      </c>
      <c r="Y192" s="59">
        <f t="shared" si="1118"/>
        <v>0</v>
      </c>
      <c r="Z192" s="59"/>
      <c r="AA192" s="59"/>
      <c r="AB192" s="59"/>
      <c r="AC192" s="59">
        <v>314</v>
      </c>
      <c r="AD192" s="59">
        <f t="shared" si="1119"/>
        <v>1514.1807724085099</v>
      </c>
      <c r="AE192" s="59">
        <v>11868.41</v>
      </c>
      <c r="AF192" s="62">
        <f t="shared" si="1120"/>
        <v>0.61160525542922295</v>
      </c>
      <c r="AG192" s="62">
        <f t="shared" si="1121"/>
        <v>1.7893123352837299</v>
      </c>
      <c r="AH192" s="62">
        <f t="shared" si="1135"/>
        <v>0.89465616764186695</v>
      </c>
      <c r="AI192" s="59">
        <f t="shared" si="1122"/>
        <v>266.67641425955497</v>
      </c>
      <c r="AJ192" s="59"/>
      <c r="AK192" s="59"/>
      <c r="AL192" s="59">
        <v>564.48000000000002</v>
      </c>
      <c r="AM192" s="59">
        <v>51</v>
      </c>
      <c r="AN192" s="62">
        <v>1</v>
      </c>
      <c r="AO192" s="59">
        <f t="shared" si="1123"/>
        <v>63.579359352112903</v>
      </c>
      <c r="AP192" s="59"/>
      <c r="AQ192" s="59"/>
      <c r="AR192" s="59">
        <v>12818</v>
      </c>
      <c r="AS192" s="59">
        <f t="shared" si="1124"/>
        <v>175.58206591792899</v>
      </c>
      <c r="AT192" s="189">
        <v>0.3236</v>
      </c>
      <c r="AU192" s="59">
        <f t="shared" si="1125"/>
        <v>234.96643232952201</v>
      </c>
      <c r="AV192" s="59">
        <v>1</v>
      </c>
      <c r="AW192" s="59">
        <f t="shared" si="1126"/>
        <v>1000</v>
      </c>
      <c r="AX192" s="59"/>
      <c r="AY192" s="62">
        <v>73.359999999999999</v>
      </c>
      <c r="AZ192" s="62" t="s">
        <v>440</v>
      </c>
      <c r="BA192" s="59"/>
      <c r="BB192" s="59" t="s">
        <v>441</v>
      </c>
      <c r="BC192" s="59">
        <v>800</v>
      </c>
      <c r="BD192" s="62">
        <v>31.6454741268068</v>
      </c>
      <c r="BE192" s="59">
        <f t="shared" si="1127"/>
        <v>396.61730245350998</v>
      </c>
      <c r="BF192" s="62" t="e">
        <f>VLOOKUP(B192,'2022年项目库建设情况'!B:O,14,0)</f>
        <v>#N/A</v>
      </c>
      <c r="BG192" s="59" t="e">
        <f t="shared" si="1128"/>
        <v>#N/A</v>
      </c>
      <c r="BH192" s="53" t="e">
        <f>ROUND(AI192+AD192+#REF!+#REF!+BE192+BG192,0)</f>
        <v>#REF!</v>
      </c>
      <c r="BI192" s="59" t="e">
        <f t="shared" si="1129"/>
        <v>#REF!</v>
      </c>
      <c r="BJ192" s="167" t="e">
        <f t="shared" si="1130"/>
        <v>#REF!</v>
      </c>
      <c r="BK192" s="170">
        <f t="shared" si="1131"/>
        <v>4451.6023467211398</v>
      </c>
      <c r="BL192" s="59">
        <v>2791</v>
      </c>
      <c r="BM192" s="59">
        <f t="shared" si="1132"/>
        <v>2534.3997809065499</v>
      </c>
      <c r="BN192" s="59">
        <f t="shared" si="1133"/>
        <v>1917.2025658145899</v>
      </c>
      <c r="BO192" s="43">
        <f t="shared" si="950"/>
        <v>0.75647203738662205</v>
      </c>
    </row>
    <row r="193" ht="17" customHeight="1">
      <c r="A193" s="46">
        <v>128</v>
      </c>
      <c r="B193" s="82" t="s">
        <v>230</v>
      </c>
      <c r="C193" s="46" t="s">
        <v>90</v>
      </c>
      <c r="D193" s="46">
        <v>2018</v>
      </c>
      <c r="E193" s="46"/>
      <c r="F193" s="46" t="s">
        <v>146</v>
      </c>
      <c r="G193" s="73" t="e">
        <f>VLOOKUP(B:B,#REF!,2,0)</f>
        <v>#REF!</v>
      </c>
      <c r="H193" s="73" t="e">
        <f t="shared" si="1115"/>
        <v>#REF!</v>
      </c>
      <c r="I193" s="59" t="e">
        <f>VLOOKUP(B193,#REF!,4,0)</f>
        <v>#REF!</v>
      </c>
      <c r="J193" s="59" t="e">
        <f>VLOOKUP(B193,#REF!,2,0)</f>
        <v>#REF!</v>
      </c>
      <c r="K193" s="73" t="e">
        <f t="shared" si="1116"/>
        <v>#REF!</v>
      </c>
      <c r="L193" s="73" t="e">
        <f t="shared" si="1117"/>
        <v>#REF!</v>
      </c>
      <c r="M193" s="59">
        <v>5906</v>
      </c>
      <c r="N193" s="59">
        <v>1109</v>
      </c>
      <c r="O193" s="73">
        <v>36967</v>
      </c>
      <c r="P193" s="59">
        <f t="shared" si="1104"/>
        <v>22180.200000000001</v>
      </c>
      <c r="Q193" s="59">
        <f t="shared" si="1105"/>
        <v>0</v>
      </c>
      <c r="R193" s="59">
        <f t="shared" si="1106"/>
        <v>0</v>
      </c>
      <c r="S193" s="59">
        <f t="shared" si="1107"/>
        <v>22180.200000000001</v>
      </c>
      <c r="T193" s="59">
        <f t="shared" si="1108"/>
        <v>0</v>
      </c>
      <c r="U193" s="59">
        <f t="shared" si="1109"/>
        <v>0</v>
      </c>
      <c r="V193" s="59">
        <v>3335</v>
      </c>
      <c r="W193" s="59">
        <f t="shared" si="1134"/>
        <v>1667.5</v>
      </c>
      <c r="X193" s="59">
        <v>4547</v>
      </c>
      <c r="Y193" s="59">
        <f t="shared" si="1118"/>
        <v>0</v>
      </c>
      <c r="Z193" s="59"/>
      <c r="AA193" s="59"/>
      <c r="AB193" s="59"/>
      <c r="AC193" s="59">
        <v>16</v>
      </c>
      <c r="AD193" s="59">
        <f t="shared" si="1119"/>
        <v>1881.6560363937199</v>
      </c>
      <c r="AE193" s="59">
        <v>11920.309999999999</v>
      </c>
      <c r="AF193" s="62">
        <f t="shared" si="1120"/>
        <v>0.60323026228735799</v>
      </c>
      <c r="AG193" s="62">
        <f t="shared" si="1121"/>
        <v>2.4311386030705102</v>
      </c>
      <c r="AH193" s="62">
        <f t="shared" si="1135"/>
        <v>1.21556930153525</v>
      </c>
      <c r="AI193" s="59">
        <f t="shared" si="1122"/>
        <v>362.33323408683799</v>
      </c>
      <c r="AJ193" s="59"/>
      <c r="AK193" s="59"/>
      <c r="AL193" s="59">
        <v>1627.3299999999999</v>
      </c>
      <c r="AM193" s="59">
        <v>12</v>
      </c>
      <c r="AN193" s="62">
        <v>1</v>
      </c>
      <c r="AO193" s="59">
        <f t="shared" si="1123"/>
        <v>183.29187722235301</v>
      </c>
      <c r="AP193" s="59"/>
      <c r="AQ193" s="59"/>
      <c r="AR193" s="59">
        <v>17180</v>
      </c>
      <c r="AS193" s="59">
        <f t="shared" si="1124"/>
        <v>235.33311690357499</v>
      </c>
      <c r="AT193" s="189">
        <v>0.36709999999999998</v>
      </c>
      <c r="AU193" s="59">
        <f t="shared" si="1125"/>
        <v>266.55184582252099</v>
      </c>
      <c r="AV193" s="59"/>
      <c r="AW193" s="59"/>
      <c r="AX193" s="59"/>
      <c r="AY193" s="62">
        <v>56.780000000000001</v>
      </c>
      <c r="AZ193" s="62" t="s">
        <v>445</v>
      </c>
      <c r="BA193" s="59"/>
      <c r="BB193" s="59" t="s">
        <v>443</v>
      </c>
      <c r="BC193" s="59"/>
      <c r="BD193" s="62">
        <v>32.8873974421589</v>
      </c>
      <c r="BE193" s="59">
        <f t="shared" si="1127"/>
        <v>412.18250691893599</v>
      </c>
      <c r="BF193" s="62" t="e">
        <f>VLOOKUP(B193,'2022年项目库建设情况'!B:O,14,0)</f>
        <v>#N/A</v>
      </c>
      <c r="BG193" s="59" t="e">
        <f t="shared" si="1128"/>
        <v>#N/A</v>
      </c>
      <c r="BH193" s="53" t="e">
        <f>ROUND(AI193+AD193+#REF!+#REF!+BE193+BG193,0)</f>
        <v>#REF!</v>
      </c>
      <c r="BI193" s="59" t="e">
        <f t="shared" si="1129"/>
        <v>#REF!</v>
      </c>
      <c r="BJ193" s="167" t="e">
        <f t="shared" si="1130"/>
        <v>#REF!</v>
      </c>
      <c r="BK193" s="170">
        <f t="shared" si="1131"/>
        <v>3341.34861734794</v>
      </c>
      <c r="BL193" s="59">
        <v>5906</v>
      </c>
      <c r="BM193" s="59">
        <f t="shared" si="1132"/>
        <v>5363.0115034160099</v>
      </c>
      <c r="BN193" s="59">
        <f t="shared" si="1133"/>
        <v>-2021.6628860680701</v>
      </c>
      <c r="BO193" s="43">
        <f t="shared" si="950"/>
        <v>-0.37696411517677297</v>
      </c>
    </row>
    <row r="194" ht="17" customHeight="1">
      <c r="A194" s="46">
        <v>129</v>
      </c>
      <c r="B194" s="82" t="s">
        <v>231</v>
      </c>
      <c r="C194" s="46" t="s">
        <v>90</v>
      </c>
      <c r="D194" s="46">
        <v>2018</v>
      </c>
      <c r="E194" s="46" t="s">
        <v>91</v>
      </c>
      <c r="F194" s="46" t="s">
        <v>146</v>
      </c>
      <c r="G194" s="73" t="e">
        <f>VLOOKUP(B:B,#REF!,2,0)</f>
        <v>#REF!</v>
      </c>
      <c r="H194" s="73" t="e">
        <f t="shared" si="1115"/>
        <v>#REF!</v>
      </c>
      <c r="I194" s="59" t="e">
        <f>VLOOKUP(B194,#REF!,4,0)</f>
        <v>#REF!</v>
      </c>
      <c r="J194" s="59" t="e">
        <f>VLOOKUP(B194,#REF!,2,0)</f>
        <v>#REF!</v>
      </c>
      <c r="K194" s="73" t="e">
        <f t="shared" si="1116"/>
        <v>#REF!</v>
      </c>
      <c r="L194" s="73" t="e">
        <f t="shared" si="1117"/>
        <v>#REF!</v>
      </c>
      <c r="M194" s="59">
        <v>15329</v>
      </c>
      <c r="N194" s="59">
        <v>3096</v>
      </c>
      <c r="O194" s="73">
        <v>40066</v>
      </c>
      <c r="P194" s="59">
        <f t="shared" si="1104"/>
        <v>24039.599999999999</v>
      </c>
      <c r="Q194" s="59">
        <f t="shared" si="1105"/>
        <v>0</v>
      </c>
      <c r="R194" s="59">
        <f t="shared" si="1106"/>
        <v>0</v>
      </c>
      <c r="S194" s="59">
        <f t="shared" si="1107"/>
        <v>24039.599999999999</v>
      </c>
      <c r="T194" s="59">
        <f t="shared" si="1108"/>
        <v>0</v>
      </c>
      <c r="U194" s="59">
        <f t="shared" si="1109"/>
        <v>0</v>
      </c>
      <c r="V194" s="59">
        <v>5388</v>
      </c>
      <c r="W194" s="59">
        <f>V194*1</f>
        <v>5388</v>
      </c>
      <c r="X194" s="59">
        <v>1570</v>
      </c>
      <c r="Y194" s="59">
        <f t="shared" si="1118"/>
        <v>0</v>
      </c>
      <c r="Z194" s="59"/>
      <c r="AA194" s="59"/>
      <c r="AB194" s="59"/>
      <c r="AC194" s="59">
        <v>844</v>
      </c>
      <c r="AD194" s="59">
        <f t="shared" si="1119"/>
        <v>2536.1595127505698</v>
      </c>
      <c r="AE194" s="59">
        <v>11602.309999999999</v>
      </c>
      <c r="AF194" s="62">
        <f t="shared" si="1120"/>
        <v>0.65454524916814905</v>
      </c>
      <c r="AG194" s="62">
        <f t="shared" si="1121"/>
        <v>2.9751699755689001</v>
      </c>
      <c r="AH194" s="62">
        <f>AG194*1</f>
        <v>2.9751699755689001</v>
      </c>
      <c r="AI194" s="59">
        <f t="shared" si="1122"/>
        <v>886.82970016142303</v>
      </c>
      <c r="AJ194" s="59">
        <f>P194</f>
        <v>24039.599999999999</v>
      </c>
      <c r="AK194" s="59">
        <f>AJ194/$AJ$9*2859</f>
        <v>17.1028630115974</v>
      </c>
      <c r="AL194" s="59">
        <v>604.39999999999998</v>
      </c>
      <c r="AM194" s="59">
        <v>21</v>
      </c>
      <c r="AN194" s="62">
        <v>1</v>
      </c>
      <c r="AO194" s="59">
        <f t="shared" si="1123"/>
        <v>68.075688762076695</v>
      </c>
      <c r="AP194" s="59"/>
      <c r="AQ194" s="59"/>
      <c r="AR194" s="59">
        <v>16801</v>
      </c>
      <c r="AS194" s="59">
        <f t="shared" si="1124"/>
        <v>230.141542322291</v>
      </c>
      <c r="AT194" s="189">
        <v>0.32740000000000002</v>
      </c>
      <c r="AU194" s="59">
        <f t="shared" si="1125"/>
        <v>237.72561787603701</v>
      </c>
      <c r="AV194" s="59"/>
      <c r="AW194" s="59"/>
      <c r="AX194" s="59"/>
      <c r="AY194" s="62">
        <v>65.420000000000002</v>
      </c>
      <c r="AZ194" s="62" t="s">
        <v>440</v>
      </c>
      <c r="BA194" s="59"/>
      <c r="BB194" s="59" t="s">
        <v>441</v>
      </c>
      <c r="BC194" s="59">
        <v>1000</v>
      </c>
      <c r="BD194" s="62">
        <v>31.956895882618699</v>
      </c>
      <c r="BE194" s="59">
        <f t="shared" si="1127"/>
        <v>400.52039634366702</v>
      </c>
      <c r="BF194" s="62" t="e">
        <f>VLOOKUP(B194,'2022年项目库建设情况'!B:O,14,0)</f>
        <v>#N/A</v>
      </c>
      <c r="BG194" s="59" t="e">
        <f t="shared" si="1128"/>
        <v>#N/A</v>
      </c>
      <c r="BH194" s="53" t="e">
        <f>ROUND(AI194+AD194+#REF!+#REF!+BE194+BG194,0)</f>
        <v>#REF!</v>
      </c>
      <c r="BI194" s="59" t="e">
        <f t="shared" si="1129"/>
        <v>#REF!</v>
      </c>
      <c r="BJ194" s="167" t="e">
        <f t="shared" si="1130"/>
        <v>#REF!</v>
      </c>
      <c r="BK194" s="170">
        <f t="shared" si="1131"/>
        <v>5359.4524582160602</v>
      </c>
      <c r="BL194" s="59">
        <v>15329</v>
      </c>
      <c r="BM194" s="59">
        <f t="shared" si="1132"/>
        <v>13919.675471700701</v>
      </c>
      <c r="BN194" s="59">
        <f t="shared" si="1133"/>
        <v>-8560.2230134845904</v>
      </c>
      <c r="BO194" s="43">
        <f t="shared" si="950"/>
        <v>-0.614972887183176</v>
      </c>
    </row>
    <row r="196">
      <c r="B196" s="1"/>
    </row>
  </sheetData>
  <autoFilter ref="A9:BR194"/>
  <mergeCells count="53">
    <mergeCell ref="A2:BK2"/>
    <mergeCell ref="O4:AD4"/>
    <mergeCell ref="O5:U5"/>
    <mergeCell ref="X5:AB5"/>
    <mergeCell ref="P6:U6"/>
    <mergeCell ref="Y6:AB6"/>
    <mergeCell ref="AL6:AQ6"/>
    <mergeCell ref="AR6:AU6"/>
    <mergeCell ref="AV6:AW6"/>
    <mergeCell ref="BD6:BE6"/>
    <mergeCell ref="BF6:BG6"/>
    <mergeCell ref="A4:A7"/>
    <mergeCell ref="B4:B7"/>
    <mergeCell ref="C4:C7"/>
    <mergeCell ref="D4:D7"/>
    <mergeCell ref="E4:E7"/>
    <mergeCell ref="F4:F7"/>
    <mergeCell ref="G4:G7"/>
    <mergeCell ref="H4:H7"/>
    <mergeCell ref="I4:I7"/>
    <mergeCell ref="J4:J7"/>
    <mergeCell ref="K4:K7"/>
    <mergeCell ref="L4:L7"/>
    <mergeCell ref="M4:M7"/>
    <mergeCell ref="N4:N7"/>
    <mergeCell ref="O6:O7"/>
    <mergeCell ref="V5:V7"/>
    <mergeCell ref="W5:W7"/>
    <mergeCell ref="X6:X7"/>
    <mergeCell ref="AC5:AC7"/>
    <mergeCell ref="AD5:AD7"/>
    <mergeCell ref="AE6:AE7"/>
    <mergeCell ref="AF6:AF7"/>
    <mergeCell ref="AG6:AG7"/>
    <mergeCell ref="AH6:AH7"/>
    <mergeCell ref="AI6:AI7"/>
    <mergeCell ref="AX6:AX7"/>
    <mergeCell ref="AY6:AY7"/>
    <mergeCell ref="AZ6:AZ7"/>
    <mergeCell ref="BA6:BA7"/>
    <mergeCell ref="BB6:BB7"/>
    <mergeCell ref="BC6:BC7"/>
    <mergeCell ref="BH4:BH7"/>
    <mergeCell ref="BI4:BI7"/>
    <mergeCell ref="BJ4:BJ7"/>
    <mergeCell ref="BK4:BK7"/>
    <mergeCell ref="BL4:BL7"/>
    <mergeCell ref="BM4:BM7"/>
    <mergeCell ref="BN4:BN7"/>
    <mergeCell ref="BO4:BO7"/>
    <mergeCell ref="AE4:AI5"/>
    <mergeCell ref="AJ4:AX5"/>
    <mergeCell ref="AY4:BG5"/>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5">
    <outlinePr applyStyles="0" summaryBelow="1" summaryRight="1" showOutlineSymbols="1"/>
    <pageSetUpPr autoPageBreaks="1" fitToPage="0"/>
  </sheetPr>
  <sheetViews>
    <sheetView topLeftCell="B1" zoomScale="100" workbookViewId="0">
      <selection activeCell="D28" activeCellId="0" sqref="D28"/>
    </sheetView>
  </sheetViews>
  <sheetFormatPr defaultColWidth="9" defaultRowHeight="13.5" outlineLevelCol="5"/>
  <cols>
    <col customWidth="1" min="1" max="1" width="10.875"/>
    <col customWidth="1" min="2" max="2" width="17.125"/>
    <col customWidth="1" min="3" max="4" style="191" width="7.375"/>
    <col customWidth="1" min="5" max="6" style="191" width="13.758333333333301"/>
  </cols>
  <sheetData>
    <row r="1" s="0" customFormat="1">
      <c r="A1" s="192" t="s">
        <v>370</v>
      </c>
      <c r="B1" s="192" t="s">
        <v>446</v>
      </c>
      <c r="C1" s="193" t="s">
        <v>447</v>
      </c>
      <c r="D1" s="193" t="s">
        <v>448</v>
      </c>
      <c r="E1" s="193" t="s">
        <v>449</v>
      </c>
      <c r="F1" s="193" t="s">
        <v>450</v>
      </c>
    </row>
    <row r="2" s="0" customFormat="1">
      <c r="A2" s="194" t="s">
        <v>451</v>
      </c>
      <c r="B2" s="194" t="s">
        <v>57</v>
      </c>
      <c r="C2" s="195">
        <v>4</v>
      </c>
      <c r="D2" s="195">
        <v>11</v>
      </c>
      <c r="E2" s="195">
        <v>0</v>
      </c>
      <c r="F2" s="195">
        <v>0</v>
      </c>
    </row>
    <row r="3" s="0" customFormat="1">
      <c r="A3" s="194" t="s">
        <v>451</v>
      </c>
      <c r="B3" s="194" t="s">
        <v>452</v>
      </c>
      <c r="C3" s="195">
        <v>17</v>
      </c>
      <c r="D3" s="195">
        <v>41</v>
      </c>
      <c r="E3" s="195">
        <v>0</v>
      </c>
      <c r="F3" s="195">
        <v>0</v>
      </c>
    </row>
    <row r="4" s="0" customFormat="1">
      <c r="A4" s="194" t="s">
        <v>451</v>
      </c>
      <c r="B4" s="194" t="s">
        <v>65</v>
      </c>
      <c r="C4" s="195">
        <v>4664</v>
      </c>
      <c r="D4" s="195">
        <v>14284</v>
      </c>
      <c r="E4" s="195">
        <v>2604</v>
      </c>
      <c r="F4" s="195">
        <v>8735</v>
      </c>
    </row>
    <row r="5" s="0" customFormat="1">
      <c r="A5" s="194" t="s">
        <v>451</v>
      </c>
      <c r="B5" s="194" t="s">
        <v>69</v>
      </c>
      <c r="C5" s="195">
        <v>44</v>
      </c>
      <c r="D5" s="195">
        <v>99</v>
      </c>
      <c r="E5" s="195">
        <v>14</v>
      </c>
      <c r="F5" s="195">
        <v>32</v>
      </c>
    </row>
    <row r="6" s="0" customFormat="1">
      <c r="A6" s="194" t="s">
        <v>451</v>
      </c>
      <c r="B6" s="194" t="s">
        <v>71</v>
      </c>
      <c r="C6" s="195">
        <v>257</v>
      </c>
      <c r="D6" s="195">
        <v>723</v>
      </c>
      <c r="E6" s="195">
        <v>52</v>
      </c>
      <c r="F6" s="195">
        <v>158</v>
      </c>
    </row>
    <row r="7" s="0" customFormat="1">
      <c r="A7" s="194" t="s">
        <v>451</v>
      </c>
      <c r="B7" s="194" t="s">
        <v>73</v>
      </c>
      <c r="C7" s="195">
        <v>419</v>
      </c>
      <c r="D7" s="195">
        <v>1179</v>
      </c>
      <c r="E7" s="195">
        <v>64</v>
      </c>
      <c r="F7" s="195">
        <v>167</v>
      </c>
    </row>
    <row r="8" s="0" customFormat="1">
      <c r="A8" s="194" t="s">
        <v>451</v>
      </c>
      <c r="B8" s="194" t="s">
        <v>75</v>
      </c>
      <c r="C8" s="195">
        <v>126</v>
      </c>
      <c r="D8" s="195">
        <v>362</v>
      </c>
      <c r="E8" s="195">
        <v>9</v>
      </c>
      <c r="F8" s="195">
        <v>28</v>
      </c>
    </row>
    <row r="9" s="0" customFormat="1">
      <c r="A9" s="194" t="s">
        <v>451</v>
      </c>
      <c r="B9" s="194" t="s">
        <v>77</v>
      </c>
      <c r="C9" s="195">
        <v>153</v>
      </c>
      <c r="D9" s="195">
        <v>501</v>
      </c>
      <c r="E9" s="195">
        <v>78</v>
      </c>
      <c r="F9" s="195">
        <v>260</v>
      </c>
    </row>
    <row r="10" s="0" customFormat="1">
      <c r="A10" s="194" t="s">
        <v>451</v>
      </c>
      <c r="B10" s="194" t="s">
        <v>79</v>
      </c>
      <c r="C10" s="195">
        <v>2390</v>
      </c>
      <c r="D10" s="195">
        <v>7206</v>
      </c>
      <c r="E10" s="195">
        <v>862</v>
      </c>
      <c r="F10" s="195">
        <v>2722</v>
      </c>
    </row>
    <row r="11" s="0" customFormat="1">
      <c r="A11" s="194" t="s">
        <v>451</v>
      </c>
      <c r="B11" s="194" t="s">
        <v>80</v>
      </c>
      <c r="C11" s="195">
        <v>2275</v>
      </c>
      <c r="D11" s="195">
        <v>6832</v>
      </c>
      <c r="E11" s="195">
        <v>1618</v>
      </c>
      <c r="F11" s="195">
        <v>4706</v>
      </c>
    </row>
    <row r="12" s="0" customFormat="1">
      <c r="A12" s="194" t="s">
        <v>451</v>
      </c>
      <c r="B12" s="194" t="s">
        <v>453</v>
      </c>
      <c r="C12" s="195">
        <v>84</v>
      </c>
      <c r="D12" s="195">
        <v>328</v>
      </c>
      <c r="E12" s="195">
        <v>54</v>
      </c>
      <c r="F12" s="195">
        <v>245</v>
      </c>
    </row>
    <row r="13" s="0" customFormat="1">
      <c r="A13" s="194" t="s">
        <v>451</v>
      </c>
      <c r="B13" s="194" t="s">
        <v>454</v>
      </c>
      <c r="C13" s="195">
        <v>89</v>
      </c>
      <c r="D13" s="195">
        <v>214</v>
      </c>
      <c r="E13" s="195">
        <v>0</v>
      </c>
      <c r="F13" s="195">
        <v>0</v>
      </c>
    </row>
    <row r="14" s="0" customFormat="1">
      <c r="A14" s="194" t="s">
        <v>455</v>
      </c>
      <c r="B14" s="194" t="s">
        <v>101</v>
      </c>
      <c r="C14" s="195">
        <v>356</v>
      </c>
      <c r="D14" s="195">
        <v>1073</v>
      </c>
      <c r="E14" s="195">
        <v>162</v>
      </c>
      <c r="F14" s="195">
        <v>526</v>
      </c>
    </row>
    <row r="15" s="0" customFormat="1">
      <c r="A15" s="194" t="s">
        <v>455</v>
      </c>
      <c r="B15" s="194" t="s">
        <v>102</v>
      </c>
      <c r="C15" s="195">
        <v>328</v>
      </c>
      <c r="D15" s="195">
        <v>1010</v>
      </c>
      <c r="E15" s="195">
        <v>239</v>
      </c>
      <c r="F15" s="195">
        <v>725</v>
      </c>
    </row>
    <row r="16" s="0" customFormat="1">
      <c r="A16" s="194" t="s">
        <v>455</v>
      </c>
      <c r="B16" s="194" t="s">
        <v>103</v>
      </c>
      <c r="C16" s="195">
        <v>2626</v>
      </c>
      <c r="D16" s="195">
        <v>8035</v>
      </c>
      <c r="E16" s="195">
        <v>1063</v>
      </c>
      <c r="F16" s="195">
        <v>3421</v>
      </c>
    </row>
    <row r="17" s="0" customFormat="1">
      <c r="A17" s="194" t="s">
        <v>455</v>
      </c>
      <c r="B17" s="194" t="s">
        <v>104</v>
      </c>
      <c r="C17" s="195">
        <v>1478</v>
      </c>
      <c r="D17" s="195">
        <v>5895</v>
      </c>
      <c r="E17" s="195">
        <v>1085</v>
      </c>
      <c r="F17" s="195">
        <v>4442</v>
      </c>
    </row>
    <row r="18" s="0" customFormat="1">
      <c r="A18" s="194" t="s">
        <v>455</v>
      </c>
      <c r="B18" s="194" t="s">
        <v>105</v>
      </c>
      <c r="C18" s="195">
        <v>1704</v>
      </c>
      <c r="D18" s="195">
        <v>5851</v>
      </c>
      <c r="E18" s="195">
        <v>1240</v>
      </c>
      <c r="F18" s="195">
        <v>4408</v>
      </c>
    </row>
    <row r="19" s="0" customFormat="1">
      <c r="A19" s="194" t="s">
        <v>455</v>
      </c>
      <c r="B19" s="194" t="s">
        <v>106</v>
      </c>
      <c r="C19" s="195">
        <v>2607</v>
      </c>
      <c r="D19" s="195">
        <v>9996</v>
      </c>
      <c r="E19" s="195">
        <v>1822</v>
      </c>
      <c r="F19" s="195">
        <v>7077</v>
      </c>
    </row>
    <row r="20" s="0" customFormat="1">
      <c r="A20" s="194" t="s">
        <v>455</v>
      </c>
      <c r="B20" s="194" t="s">
        <v>107</v>
      </c>
      <c r="C20" s="195">
        <v>10665</v>
      </c>
      <c r="D20" s="195">
        <v>38583</v>
      </c>
      <c r="E20" s="195">
        <v>6557</v>
      </c>
      <c r="F20" s="195">
        <v>24144</v>
      </c>
    </row>
    <row r="21" s="0" customFormat="1">
      <c r="A21" s="194" t="s">
        <v>455</v>
      </c>
      <c r="B21" s="194" t="s">
        <v>108</v>
      </c>
      <c r="C21" s="195">
        <v>892</v>
      </c>
      <c r="D21" s="195">
        <v>2680</v>
      </c>
      <c r="E21" s="195">
        <v>286</v>
      </c>
      <c r="F21" s="195">
        <v>890</v>
      </c>
    </row>
    <row r="22" s="0" customFormat="1">
      <c r="A22" s="194" t="s">
        <v>455</v>
      </c>
      <c r="B22" s="194" t="s">
        <v>109</v>
      </c>
      <c r="C22" s="195">
        <v>6935</v>
      </c>
      <c r="D22" s="195">
        <v>20995</v>
      </c>
      <c r="E22" s="195">
        <v>4672</v>
      </c>
      <c r="F22" s="195">
        <v>14070</v>
      </c>
    </row>
    <row r="23" s="0" customFormat="1">
      <c r="A23" s="194" t="s">
        <v>456</v>
      </c>
      <c r="B23" s="194" t="s">
        <v>112</v>
      </c>
      <c r="C23" s="195">
        <v>42</v>
      </c>
      <c r="D23" s="195">
        <v>118</v>
      </c>
      <c r="E23" s="195">
        <v>19</v>
      </c>
      <c r="F23" s="195">
        <v>60</v>
      </c>
    </row>
    <row r="24" s="0" customFormat="1">
      <c r="A24" s="194" t="s">
        <v>456</v>
      </c>
      <c r="B24" s="194" t="s">
        <v>113</v>
      </c>
      <c r="C24" s="195">
        <v>186</v>
      </c>
      <c r="D24" s="195">
        <v>551</v>
      </c>
      <c r="E24" s="195">
        <v>130</v>
      </c>
      <c r="F24" s="195">
        <v>391</v>
      </c>
    </row>
    <row r="25" s="0" customFormat="1">
      <c r="A25" s="194" t="s">
        <v>456</v>
      </c>
      <c r="B25" s="194" t="s">
        <v>114</v>
      </c>
      <c r="C25" s="195">
        <v>231</v>
      </c>
      <c r="D25" s="195">
        <v>646</v>
      </c>
      <c r="E25" s="195">
        <v>178</v>
      </c>
      <c r="F25" s="195">
        <v>487</v>
      </c>
    </row>
    <row r="26" s="0" customFormat="1">
      <c r="A26" s="194" t="s">
        <v>456</v>
      </c>
      <c r="B26" s="194" t="s">
        <v>115</v>
      </c>
      <c r="C26" s="195">
        <v>110</v>
      </c>
      <c r="D26" s="195">
        <v>349</v>
      </c>
      <c r="E26" s="195">
        <v>84</v>
      </c>
      <c r="F26" s="195">
        <v>273</v>
      </c>
    </row>
    <row r="27" s="0" customFormat="1">
      <c r="A27" s="194" t="s">
        <v>456</v>
      </c>
      <c r="B27" s="194" t="s">
        <v>116</v>
      </c>
      <c r="C27" s="195">
        <v>314</v>
      </c>
      <c r="D27" s="195">
        <v>956</v>
      </c>
      <c r="E27" s="195">
        <v>246</v>
      </c>
      <c r="F27" s="195">
        <v>750</v>
      </c>
    </row>
    <row r="28" s="0" customFormat="1">
      <c r="A28" s="194" t="s">
        <v>456</v>
      </c>
      <c r="B28" s="194" t="s">
        <v>117</v>
      </c>
      <c r="C28" s="195">
        <v>360</v>
      </c>
      <c r="D28" s="195">
        <v>1081</v>
      </c>
      <c r="E28" s="195">
        <v>308</v>
      </c>
      <c r="F28" s="195">
        <v>914</v>
      </c>
    </row>
    <row r="29" s="0" customFormat="1">
      <c r="A29" s="194" t="s">
        <v>456</v>
      </c>
      <c r="B29" s="194" t="s">
        <v>118</v>
      </c>
      <c r="C29" s="195">
        <v>511</v>
      </c>
      <c r="D29" s="195">
        <v>1745</v>
      </c>
      <c r="E29" s="195">
        <v>340</v>
      </c>
      <c r="F29" s="195">
        <v>1216</v>
      </c>
    </row>
    <row r="30" s="0" customFormat="1">
      <c r="A30" s="194" t="s">
        <v>456</v>
      </c>
      <c r="B30" s="194" t="s">
        <v>119</v>
      </c>
      <c r="C30" s="195">
        <v>588</v>
      </c>
      <c r="D30" s="195">
        <v>1932</v>
      </c>
      <c r="E30" s="195">
        <v>447</v>
      </c>
      <c r="F30" s="195">
        <v>1462</v>
      </c>
    </row>
    <row r="31" s="0" customFormat="1">
      <c r="A31" s="194" t="s">
        <v>456</v>
      </c>
      <c r="B31" s="194" t="s">
        <v>120</v>
      </c>
      <c r="C31" s="195">
        <v>895</v>
      </c>
      <c r="D31" s="195">
        <v>3220</v>
      </c>
      <c r="E31" s="195">
        <v>638</v>
      </c>
      <c r="F31" s="195">
        <v>2427</v>
      </c>
    </row>
    <row r="32" s="0" customFormat="1">
      <c r="A32" s="194" t="s">
        <v>384</v>
      </c>
      <c r="B32" s="194" t="s">
        <v>192</v>
      </c>
      <c r="C32" s="195">
        <v>5583</v>
      </c>
      <c r="D32" s="195">
        <v>18597</v>
      </c>
      <c r="E32" s="195">
        <v>2442</v>
      </c>
      <c r="F32" s="195">
        <v>9287</v>
      </c>
    </row>
    <row r="33" s="0" customFormat="1">
      <c r="A33" s="194" t="s">
        <v>384</v>
      </c>
      <c r="B33" s="194" t="s">
        <v>193</v>
      </c>
      <c r="C33" s="195">
        <v>2950</v>
      </c>
      <c r="D33" s="195">
        <v>10064</v>
      </c>
      <c r="E33" s="195">
        <v>803</v>
      </c>
      <c r="F33" s="195">
        <v>3046</v>
      </c>
    </row>
    <row r="34" s="0" customFormat="1">
      <c r="A34" s="194" t="s">
        <v>384</v>
      </c>
      <c r="B34" s="194" t="s">
        <v>194</v>
      </c>
      <c r="C34" s="195">
        <v>3280</v>
      </c>
      <c r="D34" s="195">
        <v>10751</v>
      </c>
      <c r="E34" s="195">
        <v>1025</v>
      </c>
      <c r="F34" s="195">
        <v>3741</v>
      </c>
    </row>
    <row r="35" s="0" customFormat="1">
      <c r="A35" s="194" t="s">
        <v>384</v>
      </c>
      <c r="B35" s="194" t="s">
        <v>195</v>
      </c>
      <c r="C35" s="195">
        <v>2781</v>
      </c>
      <c r="D35" s="195">
        <v>9870</v>
      </c>
      <c r="E35" s="195">
        <v>1740</v>
      </c>
      <c r="F35" s="195">
        <v>6699</v>
      </c>
    </row>
    <row r="36" s="0" customFormat="1">
      <c r="A36" s="194" t="s">
        <v>384</v>
      </c>
      <c r="B36" s="194" t="s">
        <v>196</v>
      </c>
      <c r="C36" s="195">
        <v>3137</v>
      </c>
      <c r="D36" s="195">
        <v>9732</v>
      </c>
      <c r="E36" s="195">
        <v>1304</v>
      </c>
      <c r="F36" s="195">
        <v>4617</v>
      </c>
    </row>
    <row r="37" s="0" customFormat="1">
      <c r="A37" s="194" t="s">
        <v>457</v>
      </c>
      <c r="B37" s="194" t="s">
        <v>84</v>
      </c>
      <c r="C37" s="195">
        <v>5261</v>
      </c>
      <c r="D37" s="195">
        <v>19743</v>
      </c>
      <c r="E37" s="195">
        <v>3392</v>
      </c>
      <c r="F37" s="195">
        <v>13221</v>
      </c>
    </row>
    <row r="38" s="0" customFormat="1">
      <c r="A38" s="194" t="s">
        <v>457</v>
      </c>
      <c r="B38" s="194" t="s">
        <v>85</v>
      </c>
      <c r="C38" s="195">
        <v>3581</v>
      </c>
      <c r="D38" s="195">
        <v>14312</v>
      </c>
      <c r="E38" s="195">
        <v>2826</v>
      </c>
      <c r="F38" s="195">
        <v>11171</v>
      </c>
    </row>
    <row r="39" s="0" customFormat="1">
      <c r="A39" s="194" t="s">
        <v>457</v>
      </c>
      <c r="B39" s="194" t="s">
        <v>86</v>
      </c>
      <c r="C39" s="195">
        <v>5538</v>
      </c>
      <c r="D39" s="195">
        <v>21282</v>
      </c>
      <c r="E39" s="195">
        <v>3713</v>
      </c>
      <c r="F39" s="195">
        <v>15277</v>
      </c>
    </row>
    <row r="40" s="0" customFormat="1">
      <c r="A40" s="194" t="s">
        <v>457</v>
      </c>
      <c r="B40" s="194" t="s">
        <v>87</v>
      </c>
      <c r="C40" s="195">
        <v>2944</v>
      </c>
      <c r="D40" s="195">
        <v>12277</v>
      </c>
      <c r="E40" s="195">
        <v>2176</v>
      </c>
      <c r="F40" s="195">
        <v>9243</v>
      </c>
    </row>
    <row r="41" s="0" customFormat="1">
      <c r="A41" s="194" t="s">
        <v>457</v>
      </c>
      <c r="B41" s="194" t="s">
        <v>88</v>
      </c>
      <c r="C41" s="195">
        <v>4384</v>
      </c>
      <c r="D41" s="195">
        <v>18082</v>
      </c>
      <c r="E41" s="195">
        <v>3021</v>
      </c>
      <c r="F41" s="195">
        <v>12914</v>
      </c>
    </row>
    <row r="42" s="0" customFormat="1">
      <c r="A42" s="194" t="s">
        <v>457</v>
      </c>
      <c r="B42" s="194" t="s">
        <v>89</v>
      </c>
      <c r="C42" s="195">
        <v>5781</v>
      </c>
      <c r="D42" s="195">
        <v>23700</v>
      </c>
      <c r="E42" s="195">
        <v>3314</v>
      </c>
      <c r="F42" s="195">
        <v>13918</v>
      </c>
    </row>
    <row r="43" s="0" customFormat="1">
      <c r="A43" s="194" t="s">
        <v>457</v>
      </c>
      <c r="B43" s="194" t="s">
        <v>92</v>
      </c>
      <c r="C43" s="195">
        <v>1961</v>
      </c>
      <c r="D43" s="195">
        <v>8053</v>
      </c>
      <c r="E43" s="195">
        <v>1445</v>
      </c>
      <c r="F43" s="195">
        <v>6100</v>
      </c>
    </row>
    <row r="44" s="0" customFormat="1">
      <c r="A44" s="194" t="s">
        <v>457</v>
      </c>
      <c r="B44" s="194" t="s">
        <v>95</v>
      </c>
      <c r="C44" s="195">
        <v>15702</v>
      </c>
      <c r="D44" s="195">
        <v>69400</v>
      </c>
      <c r="E44" s="195">
        <v>11102</v>
      </c>
      <c r="F44" s="195">
        <v>51305</v>
      </c>
    </row>
    <row r="45" s="0" customFormat="1">
      <c r="A45" s="194" t="s">
        <v>457</v>
      </c>
      <c r="B45" s="194" t="s">
        <v>96</v>
      </c>
      <c r="C45" s="195">
        <v>7280</v>
      </c>
      <c r="D45" s="195">
        <v>32031</v>
      </c>
      <c r="E45" s="195">
        <v>5154</v>
      </c>
      <c r="F45" s="195">
        <v>23104</v>
      </c>
    </row>
    <row r="46" s="0" customFormat="1">
      <c r="A46" s="194" t="s">
        <v>457</v>
      </c>
      <c r="B46" s="194" t="s">
        <v>97</v>
      </c>
      <c r="C46" s="195">
        <v>2296</v>
      </c>
      <c r="D46" s="195">
        <v>9593</v>
      </c>
      <c r="E46" s="195">
        <v>1244</v>
      </c>
      <c r="F46" s="195">
        <v>5777</v>
      </c>
    </row>
    <row r="47" s="0" customFormat="1">
      <c r="A47" s="194" t="s">
        <v>457</v>
      </c>
      <c r="B47" s="194" t="s">
        <v>98</v>
      </c>
      <c r="C47" s="195">
        <v>111</v>
      </c>
      <c r="D47" s="195">
        <v>392</v>
      </c>
      <c r="E47" s="195">
        <v>52</v>
      </c>
      <c r="F47" s="195">
        <v>171</v>
      </c>
    </row>
    <row r="48" s="0" customFormat="1">
      <c r="A48" s="194" t="s">
        <v>458</v>
      </c>
      <c r="B48" s="194" t="s">
        <v>206</v>
      </c>
      <c r="C48" s="195">
        <v>138</v>
      </c>
      <c r="D48" s="195">
        <v>461</v>
      </c>
      <c r="E48" s="195">
        <v>58</v>
      </c>
      <c r="F48" s="195">
        <v>198</v>
      </c>
    </row>
    <row r="49" s="0" customFormat="1">
      <c r="A49" s="194" t="s">
        <v>458</v>
      </c>
      <c r="B49" s="194" t="s">
        <v>207</v>
      </c>
      <c r="C49" s="195">
        <v>813</v>
      </c>
      <c r="D49" s="195">
        <v>2724</v>
      </c>
      <c r="E49" s="195">
        <v>429</v>
      </c>
      <c r="F49" s="195">
        <v>1464</v>
      </c>
    </row>
    <row r="50" s="0" customFormat="1">
      <c r="A50" s="194" t="s">
        <v>458</v>
      </c>
      <c r="B50" s="194" t="s">
        <v>208</v>
      </c>
      <c r="C50" s="195">
        <v>2828</v>
      </c>
      <c r="D50" s="195">
        <v>10560</v>
      </c>
      <c r="E50" s="195">
        <v>1963</v>
      </c>
      <c r="F50" s="195">
        <v>7431</v>
      </c>
    </row>
    <row r="51" s="0" customFormat="1">
      <c r="A51" s="194" t="s">
        <v>458</v>
      </c>
      <c r="B51" s="194" t="s">
        <v>209</v>
      </c>
      <c r="C51" s="195">
        <v>1272</v>
      </c>
      <c r="D51" s="195">
        <v>4362</v>
      </c>
      <c r="E51" s="195">
        <v>667</v>
      </c>
      <c r="F51" s="195">
        <v>2408</v>
      </c>
    </row>
    <row r="52" s="0" customFormat="1">
      <c r="A52" s="194" t="s">
        <v>458</v>
      </c>
      <c r="B52" s="194" t="s">
        <v>210</v>
      </c>
      <c r="C52" s="195">
        <v>2823</v>
      </c>
      <c r="D52" s="195">
        <v>11321</v>
      </c>
      <c r="E52" s="195">
        <v>1915</v>
      </c>
      <c r="F52" s="195">
        <v>7868</v>
      </c>
    </row>
    <row r="53" s="0" customFormat="1">
      <c r="A53" s="194" t="s">
        <v>382</v>
      </c>
      <c r="B53" s="194" t="s">
        <v>149</v>
      </c>
      <c r="C53" s="195">
        <v>314</v>
      </c>
      <c r="D53" s="195">
        <v>1047</v>
      </c>
      <c r="E53" s="195">
        <v>188</v>
      </c>
      <c r="F53" s="195">
        <v>638</v>
      </c>
    </row>
    <row r="54" s="0" customFormat="1">
      <c r="A54" s="194" t="s">
        <v>382</v>
      </c>
      <c r="B54" s="194" t="s">
        <v>150</v>
      </c>
      <c r="C54" s="195">
        <v>1543</v>
      </c>
      <c r="D54" s="195">
        <v>4423</v>
      </c>
      <c r="E54" s="195">
        <v>705</v>
      </c>
      <c r="F54" s="195">
        <v>1991</v>
      </c>
    </row>
    <row r="55" s="0" customFormat="1">
      <c r="A55" s="194" t="s">
        <v>382</v>
      </c>
      <c r="B55" s="194" t="s">
        <v>151</v>
      </c>
      <c r="C55" s="195">
        <v>3412</v>
      </c>
      <c r="D55" s="195">
        <v>11591</v>
      </c>
      <c r="E55" s="195">
        <v>2364</v>
      </c>
      <c r="F55" s="195">
        <v>8212</v>
      </c>
    </row>
    <row r="56" s="0" customFormat="1">
      <c r="A56" s="194" t="s">
        <v>382</v>
      </c>
      <c r="B56" s="194" t="s">
        <v>152</v>
      </c>
      <c r="C56" s="195">
        <v>2869</v>
      </c>
      <c r="D56" s="195">
        <v>9511</v>
      </c>
      <c r="E56" s="195">
        <v>1290</v>
      </c>
      <c r="F56" s="195">
        <v>4548</v>
      </c>
    </row>
    <row r="57" s="0" customFormat="1">
      <c r="A57" s="194" t="s">
        <v>382</v>
      </c>
      <c r="B57" s="194" t="s">
        <v>153</v>
      </c>
      <c r="C57" s="195">
        <v>2849</v>
      </c>
      <c r="D57" s="195">
        <v>8904</v>
      </c>
      <c r="E57" s="195">
        <v>1500</v>
      </c>
      <c r="F57" s="195">
        <v>4878</v>
      </c>
    </row>
    <row r="58" s="0" customFormat="1">
      <c r="A58" s="194" t="s">
        <v>382</v>
      </c>
      <c r="B58" s="194" t="s">
        <v>154</v>
      </c>
      <c r="C58" s="195">
        <v>1600</v>
      </c>
      <c r="D58" s="195">
        <v>4668</v>
      </c>
      <c r="E58" s="195">
        <v>807</v>
      </c>
      <c r="F58" s="195">
        <v>2423</v>
      </c>
    </row>
    <row r="59" s="0" customFormat="1">
      <c r="A59" s="194" t="s">
        <v>382</v>
      </c>
      <c r="B59" s="194" t="s">
        <v>155</v>
      </c>
      <c r="C59" s="195">
        <v>873</v>
      </c>
      <c r="D59" s="195">
        <v>3264</v>
      </c>
      <c r="E59" s="195">
        <v>623</v>
      </c>
      <c r="F59" s="195">
        <v>2484</v>
      </c>
    </row>
    <row r="60" s="0" customFormat="1">
      <c r="A60" s="194" t="s">
        <v>382</v>
      </c>
      <c r="B60" s="194" t="s">
        <v>156</v>
      </c>
      <c r="C60" s="195">
        <v>1181</v>
      </c>
      <c r="D60" s="195">
        <v>3605</v>
      </c>
      <c r="E60" s="195">
        <v>846</v>
      </c>
      <c r="F60" s="195">
        <v>2678</v>
      </c>
    </row>
    <row r="61" s="0" customFormat="1">
      <c r="A61" s="194" t="s">
        <v>382</v>
      </c>
      <c r="B61" s="194" t="s">
        <v>157</v>
      </c>
      <c r="C61" s="195">
        <v>10102</v>
      </c>
      <c r="D61" s="195">
        <v>32467</v>
      </c>
      <c r="E61" s="195">
        <v>5927</v>
      </c>
      <c r="F61" s="195">
        <v>20758</v>
      </c>
    </row>
    <row r="62" s="0" customFormat="1">
      <c r="A62" s="194" t="s">
        <v>382</v>
      </c>
      <c r="B62" s="194" t="s">
        <v>158</v>
      </c>
      <c r="C62" s="195">
        <v>1599</v>
      </c>
      <c r="D62" s="195">
        <v>4444</v>
      </c>
      <c r="E62" s="195">
        <v>1065</v>
      </c>
      <c r="F62" s="195">
        <v>3239</v>
      </c>
    </row>
    <row r="63" s="0" customFormat="1">
      <c r="A63" s="194" t="s">
        <v>387</v>
      </c>
      <c r="B63" s="194" t="s">
        <v>224</v>
      </c>
      <c r="C63" s="195">
        <v>1350</v>
      </c>
      <c r="D63" s="195">
        <v>4272</v>
      </c>
      <c r="E63" s="195">
        <v>998</v>
      </c>
      <c r="F63" s="195">
        <v>3220</v>
      </c>
    </row>
    <row r="64" s="0" customFormat="1">
      <c r="A64" s="194" t="s">
        <v>387</v>
      </c>
      <c r="B64" s="194" t="s">
        <v>225</v>
      </c>
      <c r="C64" s="195">
        <v>2329</v>
      </c>
      <c r="D64" s="195">
        <v>7366</v>
      </c>
      <c r="E64" s="195">
        <v>1514</v>
      </c>
      <c r="F64" s="195">
        <v>5198</v>
      </c>
    </row>
    <row r="65" s="0" customFormat="1">
      <c r="A65" s="194" t="s">
        <v>387</v>
      </c>
      <c r="B65" s="194" t="s">
        <v>226</v>
      </c>
      <c r="C65" s="195">
        <v>1885</v>
      </c>
      <c r="D65" s="195">
        <v>5322</v>
      </c>
      <c r="E65" s="195">
        <v>1106</v>
      </c>
      <c r="F65" s="195">
        <v>3402</v>
      </c>
    </row>
    <row r="66" s="0" customFormat="1">
      <c r="A66" s="194" t="s">
        <v>387</v>
      </c>
      <c r="B66" s="194" t="s">
        <v>227</v>
      </c>
      <c r="C66" s="195">
        <v>1678</v>
      </c>
      <c r="D66" s="195">
        <v>5243</v>
      </c>
      <c r="E66" s="195">
        <v>810</v>
      </c>
      <c r="F66" s="195">
        <v>2755</v>
      </c>
    </row>
    <row r="67" s="0" customFormat="1">
      <c r="A67" s="194" t="s">
        <v>387</v>
      </c>
      <c r="B67" s="194" t="s">
        <v>228</v>
      </c>
      <c r="C67" s="195">
        <v>1340</v>
      </c>
      <c r="D67" s="195">
        <v>4495</v>
      </c>
      <c r="E67" s="195">
        <v>785</v>
      </c>
      <c r="F67" s="195">
        <v>2766</v>
      </c>
    </row>
    <row r="68" s="0" customFormat="1">
      <c r="A68" s="194" t="s">
        <v>387</v>
      </c>
      <c r="B68" s="194" t="s">
        <v>229</v>
      </c>
      <c r="C68" s="195">
        <v>968</v>
      </c>
      <c r="D68" s="195">
        <v>2902</v>
      </c>
      <c r="E68" s="195">
        <v>729</v>
      </c>
      <c r="F68" s="195">
        <v>2223</v>
      </c>
    </row>
    <row r="69" s="0" customFormat="1">
      <c r="A69" s="194" t="s">
        <v>387</v>
      </c>
      <c r="B69" s="194" t="s">
        <v>230</v>
      </c>
      <c r="C69" s="195">
        <v>935</v>
      </c>
      <c r="D69" s="195">
        <v>3335</v>
      </c>
      <c r="E69" s="195">
        <v>725</v>
      </c>
      <c r="F69" s="195">
        <v>2677</v>
      </c>
    </row>
    <row r="70" s="0" customFormat="1">
      <c r="A70" s="194" t="s">
        <v>387</v>
      </c>
      <c r="B70" s="194" t="s">
        <v>231</v>
      </c>
      <c r="C70" s="195">
        <v>1764</v>
      </c>
      <c r="D70" s="195">
        <v>5388</v>
      </c>
      <c r="E70" s="195">
        <v>1249</v>
      </c>
      <c r="F70" s="195">
        <v>3911</v>
      </c>
    </row>
    <row r="71" s="0" customFormat="1">
      <c r="A71" s="194" t="s">
        <v>459</v>
      </c>
      <c r="B71" s="194" t="s">
        <v>166</v>
      </c>
      <c r="C71" s="195">
        <v>1528</v>
      </c>
      <c r="D71" s="195">
        <v>4811</v>
      </c>
      <c r="E71" s="195">
        <v>1300</v>
      </c>
      <c r="F71" s="195">
        <v>4168</v>
      </c>
    </row>
    <row r="72" s="0" customFormat="1">
      <c r="A72" s="194" t="s">
        <v>459</v>
      </c>
      <c r="B72" s="194" t="s">
        <v>167</v>
      </c>
      <c r="C72" s="195">
        <v>1279</v>
      </c>
      <c r="D72" s="195">
        <v>4048</v>
      </c>
      <c r="E72" s="195">
        <v>855</v>
      </c>
      <c r="F72" s="195">
        <v>2764</v>
      </c>
    </row>
    <row r="73" s="0" customFormat="1">
      <c r="A73" s="194" t="s">
        <v>459</v>
      </c>
      <c r="B73" s="194" t="s">
        <v>168</v>
      </c>
      <c r="C73" s="195">
        <v>933</v>
      </c>
      <c r="D73" s="195">
        <v>2817</v>
      </c>
      <c r="E73" s="195">
        <v>622</v>
      </c>
      <c r="F73" s="195">
        <v>1855</v>
      </c>
    </row>
    <row r="74" s="0" customFormat="1">
      <c r="A74" s="194" t="s">
        <v>459</v>
      </c>
      <c r="B74" s="194" t="s">
        <v>169</v>
      </c>
      <c r="C74" s="195">
        <v>1343</v>
      </c>
      <c r="D74" s="195">
        <v>4414</v>
      </c>
      <c r="E74" s="195">
        <v>921</v>
      </c>
      <c r="F74" s="195">
        <v>3234</v>
      </c>
    </row>
    <row r="75" s="0" customFormat="1">
      <c r="A75" s="194" t="s">
        <v>459</v>
      </c>
      <c r="B75" s="194" t="s">
        <v>170</v>
      </c>
      <c r="C75" s="195">
        <v>834</v>
      </c>
      <c r="D75" s="195">
        <v>2371</v>
      </c>
      <c r="E75" s="195">
        <v>482</v>
      </c>
      <c r="F75" s="195">
        <v>1414</v>
      </c>
    </row>
    <row r="76" s="0" customFormat="1">
      <c r="A76" s="194" t="s">
        <v>459</v>
      </c>
      <c r="B76" s="194" t="s">
        <v>171</v>
      </c>
      <c r="C76" s="195">
        <v>1617</v>
      </c>
      <c r="D76" s="195">
        <v>4585</v>
      </c>
      <c r="E76" s="195">
        <v>1409</v>
      </c>
      <c r="F76" s="195">
        <v>4000</v>
      </c>
    </row>
    <row r="77" s="0" customFormat="1">
      <c r="A77" s="194" t="s">
        <v>459</v>
      </c>
      <c r="B77" s="194" t="s">
        <v>172</v>
      </c>
      <c r="C77" s="195">
        <v>1229</v>
      </c>
      <c r="D77" s="195">
        <v>3233</v>
      </c>
      <c r="E77" s="195">
        <v>995</v>
      </c>
      <c r="F77" s="195">
        <v>2625</v>
      </c>
    </row>
    <row r="78" s="0" customFormat="1">
      <c r="A78" s="194" t="s">
        <v>459</v>
      </c>
      <c r="B78" s="194" t="s">
        <v>173</v>
      </c>
      <c r="C78" s="195">
        <v>1022</v>
      </c>
      <c r="D78" s="195">
        <v>2963</v>
      </c>
      <c r="E78" s="195">
        <v>455</v>
      </c>
      <c r="F78" s="195">
        <v>1434</v>
      </c>
    </row>
    <row r="79" s="0" customFormat="1">
      <c r="A79" s="194" t="s">
        <v>459</v>
      </c>
      <c r="B79" s="194" t="s">
        <v>174</v>
      </c>
      <c r="C79" s="195">
        <v>3340</v>
      </c>
      <c r="D79" s="195">
        <v>11154</v>
      </c>
      <c r="E79" s="195">
        <v>2734</v>
      </c>
      <c r="F79" s="195">
        <v>9212</v>
      </c>
    </row>
    <row r="80" s="0" customFormat="1">
      <c r="A80" s="194" t="s">
        <v>459</v>
      </c>
      <c r="B80" s="194" t="s">
        <v>175</v>
      </c>
      <c r="C80" s="195">
        <v>1118</v>
      </c>
      <c r="D80" s="195">
        <v>3289</v>
      </c>
      <c r="E80" s="195">
        <v>761</v>
      </c>
      <c r="F80" s="195">
        <v>2272</v>
      </c>
    </row>
    <row r="81" s="0" customFormat="1">
      <c r="A81" s="194" t="s">
        <v>380</v>
      </c>
      <c r="B81" s="194" t="s">
        <v>123</v>
      </c>
      <c r="C81" s="195">
        <v>424</v>
      </c>
      <c r="D81" s="195">
        <v>1492</v>
      </c>
      <c r="E81" s="195">
        <v>124</v>
      </c>
      <c r="F81" s="195">
        <v>449</v>
      </c>
    </row>
    <row r="82" s="0" customFormat="1">
      <c r="A82" s="194" t="s">
        <v>380</v>
      </c>
      <c r="B82" s="194" t="s">
        <v>124</v>
      </c>
      <c r="C82" s="195">
        <v>374</v>
      </c>
      <c r="D82" s="195">
        <v>1405</v>
      </c>
      <c r="E82" s="195">
        <v>195</v>
      </c>
      <c r="F82" s="195">
        <v>795</v>
      </c>
    </row>
    <row r="83" s="0" customFormat="1">
      <c r="A83" s="194" t="s">
        <v>380</v>
      </c>
      <c r="B83" s="194" t="s">
        <v>125</v>
      </c>
      <c r="C83" s="195">
        <v>1008</v>
      </c>
      <c r="D83" s="195">
        <v>3357</v>
      </c>
      <c r="E83" s="195">
        <v>141</v>
      </c>
      <c r="F83" s="195">
        <v>622</v>
      </c>
    </row>
    <row r="84" s="0" customFormat="1">
      <c r="A84" s="194" t="s">
        <v>380</v>
      </c>
      <c r="B84" s="194" t="s">
        <v>126</v>
      </c>
      <c r="C84" s="195">
        <v>1331</v>
      </c>
      <c r="D84" s="195">
        <v>3982</v>
      </c>
      <c r="E84" s="195">
        <v>225</v>
      </c>
      <c r="F84" s="195">
        <v>778</v>
      </c>
    </row>
    <row r="85" s="0" customFormat="1">
      <c r="A85" s="194" t="s">
        <v>380</v>
      </c>
      <c r="B85" s="194" t="s">
        <v>127</v>
      </c>
      <c r="C85" s="195">
        <v>1191</v>
      </c>
      <c r="D85" s="195">
        <v>3812</v>
      </c>
      <c r="E85" s="195">
        <v>703</v>
      </c>
      <c r="F85" s="195">
        <v>2246</v>
      </c>
    </row>
    <row r="86" s="0" customFormat="1">
      <c r="A86" s="194" t="s">
        <v>380</v>
      </c>
      <c r="B86" s="194" t="s">
        <v>128</v>
      </c>
      <c r="C86" s="195">
        <v>731</v>
      </c>
      <c r="D86" s="195">
        <v>2207</v>
      </c>
      <c r="E86" s="195">
        <v>197</v>
      </c>
      <c r="F86" s="195">
        <v>689</v>
      </c>
    </row>
    <row r="87" s="0" customFormat="1">
      <c r="A87" s="194" t="s">
        <v>380</v>
      </c>
      <c r="B87" s="194" t="s">
        <v>129</v>
      </c>
      <c r="C87" s="195">
        <v>1545</v>
      </c>
      <c r="D87" s="195">
        <v>5469</v>
      </c>
      <c r="E87" s="195">
        <v>1142</v>
      </c>
      <c r="F87" s="195">
        <v>4135</v>
      </c>
    </row>
    <row r="88" s="0" customFormat="1">
      <c r="A88" s="194" t="s">
        <v>380</v>
      </c>
      <c r="B88" s="194" t="s">
        <v>130</v>
      </c>
      <c r="C88" s="195">
        <v>1542</v>
      </c>
      <c r="D88" s="195">
        <v>5957</v>
      </c>
      <c r="E88" s="195">
        <v>1279</v>
      </c>
      <c r="F88" s="195">
        <v>5044</v>
      </c>
    </row>
    <row r="89" s="0" customFormat="1">
      <c r="A89" s="194" t="s">
        <v>380</v>
      </c>
      <c r="B89" s="194" t="s">
        <v>131</v>
      </c>
      <c r="C89" s="195">
        <v>3538</v>
      </c>
      <c r="D89" s="195">
        <v>15403</v>
      </c>
      <c r="E89" s="195">
        <v>2313</v>
      </c>
      <c r="F89" s="195">
        <v>10979</v>
      </c>
    </row>
    <row r="90" s="0" customFormat="1">
      <c r="A90" s="194" t="s">
        <v>380</v>
      </c>
      <c r="B90" s="194" t="s">
        <v>132</v>
      </c>
      <c r="C90" s="195">
        <v>2299</v>
      </c>
      <c r="D90" s="195">
        <v>10395</v>
      </c>
      <c r="E90" s="195">
        <v>1399</v>
      </c>
      <c r="F90" s="195">
        <v>7118</v>
      </c>
    </row>
    <row r="91" s="0" customFormat="1">
      <c r="A91" s="194" t="s">
        <v>380</v>
      </c>
      <c r="B91" s="194" t="s">
        <v>133</v>
      </c>
      <c r="C91" s="195">
        <v>3510</v>
      </c>
      <c r="D91" s="195">
        <v>13742</v>
      </c>
      <c r="E91" s="195">
        <v>2803</v>
      </c>
      <c r="F91" s="195">
        <v>11408</v>
      </c>
    </row>
    <row r="92" s="0" customFormat="1">
      <c r="A92" s="194" t="s">
        <v>380</v>
      </c>
      <c r="B92" s="194" t="s">
        <v>134</v>
      </c>
      <c r="C92" s="195">
        <v>2069</v>
      </c>
      <c r="D92" s="195">
        <v>8288</v>
      </c>
      <c r="E92" s="195">
        <v>1169</v>
      </c>
      <c r="F92" s="195">
        <v>5210</v>
      </c>
    </row>
    <row r="93" s="0" customFormat="1">
      <c r="A93" s="194" t="s">
        <v>380</v>
      </c>
      <c r="B93" s="194" t="s">
        <v>135</v>
      </c>
      <c r="C93" s="195">
        <v>405</v>
      </c>
      <c r="D93" s="195">
        <v>1522</v>
      </c>
      <c r="E93" s="195">
        <v>356</v>
      </c>
      <c r="F93" s="195">
        <v>1367</v>
      </c>
    </row>
    <row r="94" s="0" customFormat="1">
      <c r="A94" s="194" t="s">
        <v>381</v>
      </c>
      <c r="B94" s="194" t="s">
        <v>138</v>
      </c>
      <c r="C94" s="195">
        <v>1886</v>
      </c>
      <c r="D94" s="195">
        <v>6906</v>
      </c>
      <c r="E94" s="195">
        <v>1648</v>
      </c>
      <c r="F94" s="195">
        <v>6150</v>
      </c>
    </row>
    <row r="95" s="0" customFormat="1">
      <c r="A95" s="194" t="s">
        <v>381</v>
      </c>
      <c r="B95" s="194" t="s">
        <v>139</v>
      </c>
      <c r="C95" s="195">
        <v>1572</v>
      </c>
      <c r="D95" s="195">
        <v>5959</v>
      </c>
      <c r="E95" s="195">
        <v>1201</v>
      </c>
      <c r="F95" s="195">
        <v>4731</v>
      </c>
    </row>
    <row r="96" s="0" customFormat="1">
      <c r="A96" s="194" t="s">
        <v>381</v>
      </c>
      <c r="B96" s="194" t="s">
        <v>140</v>
      </c>
      <c r="C96" s="195">
        <v>1488</v>
      </c>
      <c r="D96" s="195">
        <v>5031</v>
      </c>
      <c r="E96" s="195">
        <v>1025</v>
      </c>
      <c r="F96" s="195">
        <v>3507</v>
      </c>
    </row>
    <row r="97" s="0" customFormat="1">
      <c r="A97" s="194" t="s">
        <v>381</v>
      </c>
      <c r="B97" s="194" t="s">
        <v>141</v>
      </c>
      <c r="C97" s="195">
        <v>1069</v>
      </c>
      <c r="D97" s="195">
        <v>3634</v>
      </c>
      <c r="E97" s="195">
        <v>825</v>
      </c>
      <c r="F97" s="195">
        <v>2918</v>
      </c>
    </row>
    <row r="98" s="0" customFormat="1">
      <c r="A98" s="194" t="s">
        <v>381</v>
      </c>
      <c r="B98" s="194" t="s">
        <v>142</v>
      </c>
      <c r="C98" s="195">
        <v>3381</v>
      </c>
      <c r="D98" s="195">
        <v>13090</v>
      </c>
      <c r="E98" s="195">
        <v>2946</v>
      </c>
      <c r="F98" s="195">
        <v>11631</v>
      </c>
    </row>
    <row r="99" s="0" customFormat="1">
      <c r="A99" s="194" t="s">
        <v>381</v>
      </c>
      <c r="B99" s="194" t="s">
        <v>143</v>
      </c>
      <c r="C99" s="195">
        <v>2615</v>
      </c>
      <c r="D99" s="195">
        <v>10766</v>
      </c>
      <c r="E99" s="195">
        <v>1947</v>
      </c>
      <c r="F99" s="195">
        <v>8370</v>
      </c>
    </row>
    <row r="100" s="0" customFormat="1">
      <c r="A100" s="194" t="s">
        <v>381</v>
      </c>
      <c r="B100" s="194" t="s">
        <v>144</v>
      </c>
      <c r="C100" s="195">
        <v>4799</v>
      </c>
      <c r="D100" s="195">
        <v>20841</v>
      </c>
      <c r="E100" s="195">
        <v>3193</v>
      </c>
      <c r="F100" s="195">
        <v>14144</v>
      </c>
    </row>
    <row r="101" s="0" customFormat="1">
      <c r="A101" s="194" t="s">
        <v>381</v>
      </c>
      <c r="B101" s="194" t="s">
        <v>145</v>
      </c>
      <c r="C101" s="195">
        <v>1082</v>
      </c>
      <c r="D101" s="195">
        <v>4140</v>
      </c>
      <c r="E101" s="195">
        <v>821</v>
      </c>
      <c r="F101" s="195">
        <v>3287</v>
      </c>
    </row>
    <row r="102" s="0" customFormat="1">
      <c r="A102" s="194" t="s">
        <v>460</v>
      </c>
      <c r="B102" s="194" t="s">
        <v>161</v>
      </c>
      <c r="C102" s="195">
        <v>607</v>
      </c>
      <c r="D102" s="195">
        <v>2047</v>
      </c>
      <c r="E102" s="195">
        <v>392</v>
      </c>
      <c r="F102" s="195">
        <v>1483</v>
      </c>
    </row>
    <row r="103" s="0" customFormat="1">
      <c r="A103" s="194" t="s">
        <v>460</v>
      </c>
      <c r="B103" s="194" t="s">
        <v>162</v>
      </c>
      <c r="C103" s="195">
        <v>1106</v>
      </c>
      <c r="D103" s="195">
        <v>3510</v>
      </c>
      <c r="E103" s="195">
        <v>741</v>
      </c>
      <c r="F103" s="195">
        <v>2567</v>
      </c>
    </row>
    <row r="104" s="0" customFormat="1">
      <c r="A104" s="194" t="s">
        <v>460</v>
      </c>
      <c r="B104" s="194" t="s">
        <v>163</v>
      </c>
      <c r="C104" s="195">
        <v>863</v>
      </c>
      <c r="D104" s="195">
        <v>2975</v>
      </c>
      <c r="E104" s="195">
        <v>560</v>
      </c>
      <c r="F104" s="195">
        <v>2137</v>
      </c>
    </row>
    <row r="105" s="0" customFormat="1">
      <c r="A105" s="194" t="s">
        <v>461</v>
      </c>
      <c r="B105" s="194" t="s">
        <v>178</v>
      </c>
      <c r="C105" s="195">
        <v>270</v>
      </c>
      <c r="D105" s="195">
        <v>891</v>
      </c>
      <c r="E105" s="195">
        <v>131</v>
      </c>
      <c r="F105" s="195">
        <v>490</v>
      </c>
    </row>
    <row r="106" s="0" customFormat="1">
      <c r="A106" s="194" t="s">
        <v>461</v>
      </c>
      <c r="B106" s="194" t="s">
        <v>179</v>
      </c>
      <c r="C106" s="195">
        <v>590</v>
      </c>
      <c r="D106" s="195">
        <v>2137</v>
      </c>
      <c r="E106" s="195">
        <v>422</v>
      </c>
      <c r="F106" s="195">
        <v>1586</v>
      </c>
    </row>
    <row r="107" s="0" customFormat="1">
      <c r="A107" s="194" t="s">
        <v>461</v>
      </c>
      <c r="B107" s="194" t="s">
        <v>180</v>
      </c>
      <c r="C107" s="195">
        <v>438</v>
      </c>
      <c r="D107" s="195">
        <v>1438</v>
      </c>
      <c r="E107" s="195">
        <v>296</v>
      </c>
      <c r="F107" s="195">
        <v>1020</v>
      </c>
    </row>
    <row r="108" s="0" customFormat="1">
      <c r="A108" s="194" t="s">
        <v>461</v>
      </c>
      <c r="B108" s="194" t="s">
        <v>181</v>
      </c>
      <c r="C108" s="195">
        <v>827</v>
      </c>
      <c r="D108" s="195">
        <v>3139</v>
      </c>
      <c r="E108" s="195">
        <v>613</v>
      </c>
      <c r="F108" s="195">
        <v>2481</v>
      </c>
    </row>
    <row r="109" s="0" customFormat="1">
      <c r="A109" s="194" t="s">
        <v>461</v>
      </c>
      <c r="B109" s="194" t="s">
        <v>182</v>
      </c>
      <c r="C109" s="195">
        <v>2290</v>
      </c>
      <c r="D109" s="195">
        <v>7716</v>
      </c>
      <c r="E109" s="195">
        <v>1585</v>
      </c>
      <c r="F109" s="195">
        <v>5526</v>
      </c>
    </row>
    <row r="110" s="0" customFormat="1">
      <c r="A110" s="194" t="s">
        <v>461</v>
      </c>
      <c r="B110" s="194" t="s">
        <v>183</v>
      </c>
      <c r="C110" s="195">
        <v>1954</v>
      </c>
      <c r="D110" s="195">
        <v>6456</v>
      </c>
      <c r="E110" s="195">
        <v>1446</v>
      </c>
      <c r="F110" s="195">
        <v>4954</v>
      </c>
    </row>
    <row r="111" s="0" customFormat="1">
      <c r="A111" s="194" t="s">
        <v>461</v>
      </c>
      <c r="B111" s="194" t="s">
        <v>184</v>
      </c>
      <c r="C111" s="195">
        <v>733</v>
      </c>
      <c r="D111" s="195">
        <v>2450</v>
      </c>
      <c r="E111" s="195">
        <v>499</v>
      </c>
      <c r="F111" s="195">
        <v>1736</v>
      </c>
    </row>
    <row r="112" s="0" customFormat="1">
      <c r="A112" s="194" t="s">
        <v>461</v>
      </c>
      <c r="B112" s="194" t="s">
        <v>185</v>
      </c>
      <c r="C112" s="195">
        <v>761</v>
      </c>
      <c r="D112" s="195">
        <v>2522</v>
      </c>
      <c r="E112" s="195">
        <v>565</v>
      </c>
      <c r="F112" s="195">
        <v>1933</v>
      </c>
    </row>
    <row r="113" s="0" customFormat="1">
      <c r="A113" s="194" t="s">
        <v>461</v>
      </c>
      <c r="B113" s="194" t="s">
        <v>186</v>
      </c>
      <c r="C113" s="195">
        <v>1855</v>
      </c>
      <c r="D113" s="195">
        <v>6336</v>
      </c>
      <c r="E113" s="195">
        <v>1099</v>
      </c>
      <c r="F113" s="195">
        <v>3998</v>
      </c>
    </row>
    <row r="114" s="0" customFormat="1">
      <c r="A114" s="194" t="s">
        <v>461</v>
      </c>
      <c r="B114" s="194" t="s">
        <v>187</v>
      </c>
      <c r="C114" s="195">
        <v>461</v>
      </c>
      <c r="D114" s="195">
        <v>1632</v>
      </c>
      <c r="E114" s="195">
        <v>289</v>
      </c>
      <c r="F114" s="195">
        <v>1036</v>
      </c>
    </row>
    <row r="115" s="0" customFormat="1">
      <c r="A115" s="194" t="s">
        <v>461</v>
      </c>
      <c r="B115" s="194" t="s">
        <v>188</v>
      </c>
      <c r="C115" s="195">
        <v>687</v>
      </c>
      <c r="D115" s="195">
        <v>2702</v>
      </c>
      <c r="E115" s="195">
        <v>500</v>
      </c>
      <c r="F115" s="195">
        <v>2037</v>
      </c>
    </row>
    <row r="116" s="0" customFormat="1">
      <c r="A116" s="194" t="s">
        <v>461</v>
      </c>
      <c r="B116" s="194" t="s">
        <v>189</v>
      </c>
      <c r="C116" s="195">
        <v>1151</v>
      </c>
      <c r="D116" s="195">
        <v>3121</v>
      </c>
      <c r="E116" s="195">
        <v>744</v>
      </c>
      <c r="F116" s="195">
        <v>2244</v>
      </c>
    </row>
    <row r="117" s="0" customFormat="1">
      <c r="A117" s="194" t="s">
        <v>385</v>
      </c>
      <c r="B117" s="194" t="s">
        <v>199</v>
      </c>
      <c r="C117" s="195">
        <v>1640</v>
      </c>
      <c r="D117" s="195">
        <v>5006</v>
      </c>
      <c r="E117" s="195">
        <v>971</v>
      </c>
      <c r="F117" s="195">
        <v>3180</v>
      </c>
    </row>
    <row r="118" s="0" customFormat="1">
      <c r="A118" s="194" t="s">
        <v>385</v>
      </c>
      <c r="B118" s="194" t="s">
        <v>200</v>
      </c>
      <c r="C118" s="195">
        <v>1259</v>
      </c>
      <c r="D118" s="195">
        <v>4269</v>
      </c>
      <c r="E118" s="195">
        <v>330</v>
      </c>
      <c r="F118" s="195">
        <v>1293</v>
      </c>
    </row>
    <row r="119" s="0" customFormat="1">
      <c r="A119" s="194" t="s">
        <v>385</v>
      </c>
      <c r="B119" s="194" t="s">
        <v>201</v>
      </c>
      <c r="C119" s="195">
        <v>2199</v>
      </c>
      <c r="D119" s="195">
        <v>7865</v>
      </c>
      <c r="E119" s="195">
        <v>1316</v>
      </c>
      <c r="F119" s="195">
        <v>4972</v>
      </c>
    </row>
    <row r="120" s="0" customFormat="1">
      <c r="A120" s="194" t="s">
        <v>385</v>
      </c>
      <c r="B120" s="194" t="s">
        <v>202</v>
      </c>
      <c r="C120" s="195">
        <v>2436</v>
      </c>
      <c r="D120" s="195">
        <v>8586</v>
      </c>
      <c r="E120" s="195">
        <v>1321</v>
      </c>
      <c r="F120" s="195">
        <v>5009</v>
      </c>
    </row>
    <row r="121" s="0" customFormat="1">
      <c r="A121" s="194" t="s">
        <v>385</v>
      </c>
      <c r="B121" s="194" t="s">
        <v>203</v>
      </c>
      <c r="C121" s="195">
        <v>1945</v>
      </c>
      <c r="D121" s="195">
        <v>6488</v>
      </c>
      <c r="E121" s="195">
        <v>1065</v>
      </c>
      <c r="F121" s="195">
        <v>4017</v>
      </c>
    </row>
    <row r="122" s="0" customFormat="1">
      <c r="A122" s="194" t="s">
        <v>386</v>
      </c>
      <c r="B122" s="194" t="s">
        <v>213</v>
      </c>
      <c r="C122" s="195">
        <v>3277</v>
      </c>
      <c r="D122" s="195">
        <v>11166</v>
      </c>
      <c r="E122" s="195">
        <v>1288</v>
      </c>
      <c r="F122" s="195">
        <v>4943</v>
      </c>
    </row>
    <row r="123" s="0" customFormat="1">
      <c r="A123" s="194" t="s">
        <v>386</v>
      </c>
      <c r="B123" s="194" t="s">
        <v>214</v>
      </c>
      <c r="C123" s="195">
        <v>2752</v>
      </c>
      <c r="D123" s="195">
        <v>10721</v>
      </c>
      <c r="E123" s="195">
        <v>1293</v>
      </c>
      <c r="F123" s="195">
        <v>5743</v>
      </c>
    </row>
    <row r="124" s="0" customFormat="1">
      <c r="A124" s="194" t="s">
        <v>386</v>
      </c>
      <c r="B124" s="194" t="s">
        <v>215</v>
      </c>
      <c r="C124" s="195">
        <v>969</v>
      </c>
      <c r="D124" s="195">
        <v>2630</v>
      </c>
      <c r="E124" s="195">
        <v>464</v>
      </c>
      <c r="F124" s="195">
        <v>1434</v>
      </c>
    </row>
    <row r="125" s="0" customFormat="1">
      <c r="A125" s="194" t="s">
        <v>386</v>
      </c>
      <c r="B125" s="194" t="s">
        <v>216</v>
      </c>
      <c r="C125" s="195">
        <v>5019</v>
      </c>
      <c r="D125" s="195">
        <v>17288</v>
      </c>
      <c r="E125" s="195">
        <v>2032</v>
      </c>
      <c r="F125" s="195">
        <v>8238</v>
      </c>
    </row>
    <row r="126" s="0" customFormat="1">
      <c r="A126" s="194" t="s">
        <v>462</v>
      </c>
      <c r="B126" s="194" t="s">
        <v>463</v>
      </c>
      <c r="C126" s="195">
        <v>310</v>
      </c>
      <c r="D126" s="195">
        <v>1119</v>
      </c>
      <c r="E126" s="195">
        <v>261</v>
      </c>
      <c r="F126" s="195">
        <v>936</v>
      </c>
    </row>
    <row r="127" s="0" customFormat="1">
      <c r="A127" s="194" t="s">
        <v>462</v>
      </c>
      <c r="B127" s="194" t="s">
        <v>220</v>
      </c>
      <c r="C127" s="195">
        <v>278</v>
      </c>
      <c r="D127" s="195">
        <v>1169</v>
      </c>
      <c r="E127" s="195">
        <v>229</v>
      </c>
      <c r="F127" s="195">
        <v>964</v>
      </c>
    </row>
    <row r="128" s="0" customFormat="1">
      <c r="A128" s="194" t="s">
        <v>462</v>
      </c>
      <c r="B128" s="194" t="s">
        <v>221</v>
      </c>
      <c r="C128" s="195">
        <v>1450</v>
      </c>
      <c r="D128" s="195">
        <v>4931</v>
      </c>
      <c r="E128" s="195">
        <v>1081</v>
      </c>
      <c r="F128" s="195">
        <v>3611</v>
      </c>
    </row>
  </sheetData>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6">
    <outlinePr applyStyles="0" summaryBelow="1" summaryRight="1" showOutlineSymbols="1"/>
    <pageSetUpPr autoPageBreaks="1" fitToPage="0"/>
  </sheetPr>
  <sheetViews>
    <sheetView zoomScale="100" workbookViewId="0">
      <selection activeCell="E16" activeCellId="0" sqref="E16"/>
    </sheetView>
  </sheetViews>
  <sheetFormatPr defaultColWidth="9" defaultRowHeight="14.25" outlineLevelCol="5"/>
  <cols>
    <col customWidth="1" min="1" max="1" style="107" width="11.5"/>
    <col customWidth="1" min="2" max="2" style="107" width="12.625"/>
    <col customWidth="1" min="3" max="3" style="107" width="15.125"/>
    <col customWidth="1" min="4" max="4" style="107" width="12.375"/>
    <col customWidth="1" min="5" max="5" style="107" width="24.875"/>
    <col customWidth="1" min="6" max="6" style="107" width="23.375"/>
    <col min="7" max="16384" style="107" width="9"/>
  </cols>
  <sheetData>
    <row r="1" s="107" customFormat="1" ht="34" customHeight="1">
      <c r="A1" s="196" t="s">
        <v>464</v>
      </c>
      <c r="B1" s="196"/>
      <c r="C1" s="196"/>
      <c r="D1" s="196"/>
      <c r="E1" s="196"/>
      <c r="F1" s="197"/>
    </row>
    <row r="2" s="107" customFormat="1" ht="23" customHeight="1">
      <c r="A2" s="198" t="s">
        <v>370</v>
      </c>
      <c r="B2" s="198" t="s">
        <v>446</v>
      </c>
      <c r="C2" s="198" t="s">
        <v>465</v>
      </c>
      <c r="D2" s="198" t="s">
        <v>466</v>
      </c>
      <c r="E2" s="198" t="s">
        <v>467</v>
      </c>
      <c r="F2" s="198" t="s">
        <v>468</v>
      </c>
    </row>
    <row r="3" s="107" customFormat="1">
      <c r="A3" s="198" t="s">
        <v>469</v>
      </c>
      <c r="B3" s="198"/>
      <c r="C3" s="112">
        <v>1978196</v>
      </c>
      <c r="D3" s="112">
        <v>7963777</v>
      </c>
      <c r="E3" s="112">
        <v>11378.84</v>
      </c>
      <c r="F3" s="112">
        <v>75.650000000000006</v>
      </c>
    </row>
    <row r="4" s="107" customFormat="1">
      <c r="A4" s="198" t="s">
        <v>451</v>
      </c>
      <c r="B4" s="199"/>
      <c r="C4" s="199">
        <v>99998</v>
      </c>
      <c r="D4" s="199">
        <v>365193</v>
      </c>
      <c r="E4" s="199">
        <v>11084.309999999999</v>
      </c>
      <c r="F4" s="199">
        <v>78.510000000000005</v>
      </c>
    </row>
    <row r="5" s="107" customFormat="1">
      <c r="A5" s="200" t="s">
        <v>451</v>
      </c>
      <c r="B5" s="201" t="s">
        <v>57</v>
      </c>
      <c r="C5" s="201">
        <v>18</v>
      </c>
      <c r="D5" s="201">
        <v>58</v>
      </c>
      <c r="E5" s="201">
        <v>11985.23</v>
      </c>
      <c r="F5" s="201">
        <v>79.129999999999995</v>
      </c>
    </row>
    <row r="6" s="107" customFormat="1">
      <c r="A6" s="200" t="s">
        <v>451</v>
      </c>
      <c r="B6" s="201" t="s">
        <v>59</v>
      </c>
      <c r="C6" s="201">
        <v>835</v>
      </c>
      <c r="D6" s="201">
        <v>3329</v>
      </c>
      <c r="E6" s="201">
        <v>11716.66</v>
      </c>
      <c r="F6" s="201">
        <v>77.120000000000005</v>
      </c>
    </row>
    <row r="7" s="107" customFormat="1">
      <c r="A7" s="200" t="s">
        <v>451</v>
      </c>
      <c r="B7" s="201" t="s">
        <v>452</v>
      </c>
      <c r="C7" s="201">
        <v>441</v>
      </c>
      <c r="D7" s="201">
        <v>556</v>
      </c>
      <c r="E7" s="201">
        <v>11709.68</v>
      </c>
      <c r="F7" s="201">
        <v>80.109999999999999</v>
      </c>
    </row>
    <row r="8" s="107" customFormat="1">
      <c r="A8" s="200" t="s">
        <v>451</v>
      </c>
      <c r="B8" s="201" t="s">
        <v>63</v>
      </c>
      <c r="C8" s="201">
        <v>162</v>
      </c>
      <c r="D8" s="201">
        <v>581</v>
      </c>
      <c r="E8" s="201">
        <v>12812.84</v>
      </c>
      <c r="F8" s="201">
        <v>73.010000000000005</v>
      </c>
    </row>
    <row r="9" s="107" customFormat="1">
      <c r="A9" s="200" t="s">
        <v>451</v>
      </c>
      <c r="B9" s="201" t="s">
        <v>65</v>
      </c>
      <c r="C9" s="201">
        <v>29611</v>
      </c>
      <c r="D9" s="201">
        <v>107424</v>
      </c>
      <c r="E9" s="201">
        <v>9665.8299999999999</v>
      </c>
      <c r="F9" s="201">
        <v>76.640000000000001</v>
      </c>
    </row>
    <row r="10" s="107" customFormat="1">
      <c r="A10" s="200" t="s">
        <v>451</v>
      </c>
      <c r="B10" s="201" t="s">
        <v>67</v>
      </c>
      <c r="C10" s="201">
        <v>322</v>
      </c>
      <c r="D10" s="201">
        <v>568</v>
      </c>
      <c r="E10" s="201">
        <v>16020.01</v>
      </c>
      <c r="F10" s="201">
        <v>82.150000000000006</v>
      </c>
    </row>
    <row r="11" s="107" customFormat="1">
      <c r="A11" s="200" t="s">
        <v>451</v>
      </c>
      <c r="B11" s="201" t="s">
        <v>69</v>
      </c>
      <c r="C11" s="201">
        <v>430</v>
      </c>
      <c r="D11" s="201">
        <v>1281</v>
      </c>
      <c r="E11" s="201">
        <v>14355.059999999999</v>
      </c>
      <c r="F11" s="201">
        <v>75.980000000000004</v>
      </c>
    </row>
    <row r="12" s="107" customFormat="1">
      <c r="A12" s="200" t="s">
        <v>451</v>
      </c>
      <c r="B12" s="201" t="s">
        <v>71</v>
      </c>
      <c r="C12" s="201">
        <v>1046</v>
      </c>
      <c r="D12" s="201">
        <v>3204</v>
      </c>
      <c r="E12" s="201">
        <v>11930.32</v>
      </c>
      <c r="F12" s="201">
        <v>74.989999999999995</v>
      </c>
    </row>
    <row r="13" s="107" customFormat="1">
      <c r="A13" s="200" t="s">
        <v>451</v>
      </c>
      <c r="B13" s="201" t="s">
        <v>73</v>
      </c>
      <c r="C13" s="201">
        <v>1628</v>
      </c>
      <c r="D13" s="201">
        <v>4921</v>
      </c>
      <c r="E13" s="201">
        <v>11272.93</v>
      </c>
      <c r="F13" s="201">
        <v>77.599999999999994</v>
      </c>
    </row>
    <row r="14" s="107" customFormat="1">
      <c r="A14" s="200" t="s">
        <v>451</v>
      </c>
      <c r="B14" s="201" t="s">
        <v>75</v>
      </c>
      <c r="C14" s="201">
        <v>1387</v>
      </c>
      <c r="D14" s="201">
        <v>4423</v>
      </c>
      <c r="E14" s="201">
        <v>12043.469999999999</v>
      </c>
      <c r="F14" s="201">
        <v>69.260000000000005</v>
      </c>
    </row>
    <row r="15" s="107" customFormat="1">
      <c r="A15" s="200" t="s">
        <v>451</v>
      </c>
      <c r="B15" s="201" t="s">
        <v>77</v>
      </c>
      <c r="C15" s="201">
        <v>1030</v>
      </c>
      <c r="D15" s="201">
        <v>3738</v>
      </c>
      <c r="E15" s="201">
        <v>11206.99</v>
      </c>
      <c r="F15" s="201">
        <v>73.359999999999999</v>
      </c>
    </row>
    <row r="16" s="107" customFormat="1">
      <c r="A16" s="200" t="s">
        <v>451</v>
      </c>
      <c r="B16" s="201" t="s">
        <v>79</v>
      </c>
      <c r="C16" s="201">
        <v>26713</v>
      </c>
      <c r="D16" s="201">
        <v>93172</v>
      </c>
      <c r="E16" s="201">
        <v>10536.059999999999</v>
      </c>
      <c r="F16" s="201">
        <v>76.459999999999994</v>
      </c>
    </row>
    <row r="17" s="107" customFormat="1">
      <c r="A17" s="200" t="s">
        <v>451</v>
      </c>
      <c r="B17" s="201" t="s">
        <v>80</v>
      </c>
      <c r="C17" s="201">
        <v>34458</v>
      </c>
      <c r="D17" s="201">
        <v>135586</v>
      </c>
      <c r="E17" s="201">
        <v>12393.389999999999</v>
      </c>
      <c r="F17" s="201">
        <v>81.799999999999997</v>
      </c>
    </row>
    <row r="18" s="107" customFormat="1">
      <c r="A18" s="200" t="s">
        <v>451</v>
      </c>
      <c r="B18" s="201" t="s">
        <v>81</v>
      </c>
      <c r="C18" s="201">
        <v>546</v>
      </c>
      <c r="D18" s="201">
        <v>1435</v>
      </c>
      <c r="E18" s="201">
        <v>14377.950000000001</v>
      </c>
      <c r="F18" s="201">
        <v>78.569999999999993</v>
      </c>
    </row>
    <row r="19" s="107" customFormat="1">
      <c r="A19" s="200" t="s">
        <v>451</v>
      </c>
      <c r="B19" s="201" t="s">
        <v>470</v>
      </c>
      <c r="C19" s="201">
        <v>133</v>
      </c>
      <c r="D19" s="201">
        <v>276</v>
      </c>
      <c r="E19" s="201">
        <v>16394.970000000001</v>
      </c>
      <c r="F19" s="201">
        <v>87.670000000000002</v>
      </c>
    </row>
    <row r="20" s="107" customFormat="1">
      <c r="A20" s="200" t="s">
        <v>451</v>
      </c>
      <c r="B20" s="201" t="s">
        <v>453</v>
      </c>
      <c r="C20" s="201">
        <v>985</v>
      </c>
      <c r="D20" s="201">
        <v>4110</v>
      </c>
      <c r="E20" s="201">
        <v>11199.1</v>
      </c>
      <c r="F20" s="201">
        <v>74.049999999999997</v>
      </c>
    </row>
    <row r="21" s="107" customFormat="1">
      <c r="A21" s="200" t="s">
        <v>451</v>
      </c>
      <c r="B21" s="201" t="s">
        <v>471</v>
      </c>
      <c r="C21" s="201">
        <v>86</v>
      </c>
      <c r="D21" s="201">
        <v>185</v>
      </c>
      <c r="E21" s="201">
        <v>15545.07</v>
      </c>
      <c r="F21" s="201">
        <v>79.079999999999998</v>
      </c>
    </row>
    <row r="22" s="107" customFormat="1">
      <c r="A22" s="200" t="s">
        <v>451</v>
      </c>
      <c r="B22" s="201" t="s">
        <v>454</v>
      </c>
      <c r="C22" s="201">
        <v>167</v>
      </c>
      <c r="D22" s="201">
        <v>346</v>
      </c>
      <c r="E22" s="201">
        <v>10028.219999999999</v>
      </c>
      <c r="F22" s="201">
        <v>84.310000000000002</v>
      </c>
    </row>
    <row r="23" s="107" customFormat="1">
      <c r="A23" s="198" t="s">
        <v>455</v>
      </c>
      <c r="B23" s="199"/>
      <c r="C23" s="199">
        <v>232469</v>
      </c>
      <c r="D23" s="199">
        <v>872207</v>
      </c>
      <c r="E23" s="199">
        <v>10941.940000000001</v>
      </c>
      <c r="F23" s="199">
        <v>74.629999999999995</v>
      </c>
    </row>
    <row r="24" s="107" customFormat="1">
      <c r="A24" s="200" t="s">
        <v>455</v>
      </c>
      <c r="B24" s="201" t="s">
        <v>101</v>
      </c>
      <c r="C24" s="201">
        <v>3551</v>
      </c>
      <c r="D24" s="201">
        <v>12591</v>
      </c>
      <c r="E24" s="201">
        <v>12050.25</v>
      </c>
      <c r="F24" s="201">
        <v>65.640000000000001</v>
      </c>
    </row>
    <row r="25" s="107" customFormat="1">
      <c r="A25" s="200" t="s">
        <v>455</v>
      </c>
      <c r="B25" s="201" t="s">
        <v>102</v>
      </c>
      <c r="C25" s="201">
        <v>4951</v>
      </c>
      <c r="D25" s="201">
        <v>17491</v>
      </c>
      <c r="E25" s="201">
        <v>11895.860000000001</v>
      </c>
      <c r="F25" s="201">
        <v>69.840000000000003</v>
      </c>
    </row>
    <row r="26" s="107" customFormat="1">
      <c r="A26" s="200" t="s">
        <v>455</v>
      </c>
      <c r="B26" s="201" t="s">
        <v>103</v>
      </c>
      <c r="C26" s="201">
        <v>12406</v>
      </c>
      <c r="D26" s="201">
        <v>42043</v>
      </c>
      <c r="E26" s="201">
        <v>11453.129999999999</v>
      </c>
      <c r="F26" s="201">
        <v>68.719999999999999</v>
      </c>
    </row>
    <row r="27" s="107" customFormat="1">
      <c r="A27" s="200" t="s">
        <v>455</v>
      </c>
      <c r="B27" s="201" t="s">
        <v>104</v>
      </c>
      <c r="C27" s="201">
        <v>18024</v>
      </c>
      <c r="D27" s="201">
        <v>76398</v>
      </c>
      <c r="E27" s="201">
        <v>10774.389999999999</v>
      </c>
      <c r="F27" s="201">
        <v>74.700000000000003</v>
      </c>
    </row>
    <row r="28" s="107" customFormat="1">
      <c r="A28" s="200" t="s">
        <v>455</v>
      </c>
      <c r="B28" s="201" t="s">
        <v>105</v>
      </c>
      <c r="C28" s="201">
        <v>11882</v>
      </c>
      <c r="D28" s="201">
        <v>45157</v>
      </c>
      <c r="E28" s="201">
        <v>12298.75</v>
      </c>
      <c r="F28" s="201">
        <v>76.140000000000001</v>
      </c>
    </row>
    <row r="29" s="107" customFormat="1">
      <c r="A29" s="200" t="s">
        <v>455</v>
      </c>
      <c r="B29" s="201" t="s">
        <v>106</v>
      </c>
      <c r="C29" s="201">
        <v>26911</v>
      </c>
      <c r="D29" s="201">
        <v>116701</v>
      </c>
      <c r="E29" s="201">
        <v>11878.639999999999</v>
      </c>
      <c r="F29" s="201">
        <v>77.280000000000001</v>
      </c>
    </row>
    <row r="30" s="107" customFormat="1">
      <c r="A30" s="200" t="s">
        <v>455</v>
      </c>
      <c r="B30" s="201" t="s">
        <v>107</v>
      </c>
      <c r="C30" s="201">
        <v>94024</v>
      </c>
      <c r="D30" s="201">
        <v>361104</v>
      </c>
      <c r="E30" s="201">
        <v>9862.1700000000001</v>
      </c>
      <c r="F30" s="201">
        <v>73.819999999999993</v>
      </c>
    </row>
    <row r="31" s="107" customFormat="1">
      <c r="A31" s="200" t="s">
        <v>455</v>
      </c>
      <c r="B31" s="201" t="s">
        <v>108</v>
      </c>
      <c r="C31" s="201">
        <v>5795</v>
      </c>
      <c r="D31" s="201">
        <v>21085</v>
      </c>
      <c r="E31" s="201">
        <v>11222.870000000001</v>
      </c>
      <c r="F31" s="201">
        <v>73</v>
      </c>
    </row>
    <row r="32" s="107" customFormat="1">
      <c r="A32" s="200" t="s">
        <v>455</v>
      </c>
      <c r="B32" s="201" t="s">
        <v>109</v>
      </c>
      <c r="C32" s="201">
        <v>54863</v>
      </c>
      <c r="D32" s="201">
        <v>179421</v>
      </c>
      <c r="E32" s="201">
        <v>11910.17</v>
      </c>
      <c r="F32" s="201">
        <v>76.849999999999994</v>
      </c>
    </row>
    <row r="33" s="107" customFormat="1">
      <c r="A33" s="200" t="s">
        <v>455</v>
      </c>
      <c r="B33" s="201" t="s">
        <v>472</v>
      </c>
      <c r="C33" s="201">
        <v>62</v>
      </c>
      <c r="D33" s="201">
        <v>216</v>
      </c>
      <c r="E33" s="201">
        <v>12573.59</v>
      </c>
      <c r="F33" s="201">
        <v>73.299999999999997</v>
      </c>
    </row>
    <row r="34" s="107" customFormat="1">
      <c r="A34" s="198" t="s">
        <v>456</v>
      </c>
      <c r="B34" s="199"/>
      <c r="C34" s="199">
        <v>27884</v>
      </c>
      <c r="D34" s="199">
        <v>98506</v>
      </c>
      <c r="E34" s="199">
        <v>12987.23</v>
      </c>
      <c r="F34" s="199">
        <v>73.579999999999998</v>
      </c>
    </row>
    <row r="35" s="107" customFormat="1">
      <c r="A35" s="200" t="s">
        <v>456</v>
      </c>
      <c r="B35" s="201" t="s">
        <v>112</v>
      </c>
      <c r="C35" s="201">
        <v>1581</v>
      </c>
      <c r="D35" s="201">
        <v>5593</v>
      </c>
      <c r="E35" s="201">
        <v>15658.540000000001</v>
      </c>
      <c r="F35" s="201">
        <v>71.010000000000005</v>
      </c>
    </row>
    <row r="36" s="107" customFormat="1">
      <c r="A36" s="200" t="s">
        <v>456</v>
      </c>
      <c r="B36" s="201" t="s">
        <v>113</v>
      </c>
      <c r="C36" s="201">
        <v>2163</v>
      </c>
      <c r="D36" s="201">
        <v>7446</v>
      </c>
      <c r="E36" s="201">
        <v>11997.51</v>
      </c>
      <c r="F36" s="201">
        <v>70.260000000000005</v>
      </c>
    </row>
    <row r="37" s="107" customFormat="1">
      <c r="A37" s="200" t="s">
        <v>456</v>
      </c>
      <c r="B37" s="201" t="s">
        <v>114</v>
      </c>
      <c r="C37" s="201">
        <v>2425</v>
      </c>
      <c r="D37" s="201">
        <v>7601</v>
      </c>
      <c r="E37" s="201">
        <v>12334.950000000001</v>
      </c>
      <c r="F37" s="201">
        <v>71.400000000000006</v>
      </c>
    </row>
    <row r="38" s="107" customFormat="1">
      <c r="A38" s="200" t="s">
        <v>456</v>
      </c>
      <c r="B38" s="201" t="s">
        <v>115</v>
      </c>
      <c r="C38" s="201">
        <v>790</v>
      </c>
      <c r="D38" s="201">
        <v>2579</v>
      </c>
      <c r="E38" s="201">
        <v>10967.09</v>
      </c>
      <c r="F38" s="201">
        <v>73.030000000000001</v>
      </c>
    </row>
    <row r="39" s="107" customFormat="1">
      <c r="A39" s="200" t="s">
        <v>456</v>
      </c>
      <c r="B39" s="201" t="s">
        <v>116</v>
      </c>
      <c r="C39" s="201">
        <v>3466</v>
      </c>
      <c r="D39" s="201">
        <v>11267</v>
      </c>
      <c r="E39" s="201">
        <v>12056.07</v>
      </c>
      <c r="F39" s="201">
        <v>70.670000000000002</v>
      </c>
    </row>
    <row r="40" s="107" customFormat="1">
      <c r="A40" s="200" t="s">
        <v>456</v>
      </c>
      <c r="B40" s="201" t="s">
        <v>117</v>
      </c>
      <c r="C40" s="201">
        <v>3736</v>
      </c>
      <c r="D40" s="201">
        <v>13134</v>
      </c>
      <c r="E40" s="201">
        <v>14172.93</v>
      </c>
      <c r="F40" s="201">
        <v>72.650000000000006</v>
      </c>
    </row>
    <row r="41" s="107" customFormat="1">
      <c r="A41" s="200" t="s">
        <v>456</v>
      </c>
      <c r="B41" s="201" t="s">
        <v>118</v>
      </c>
      <c r="C41" s="201">
        <v>3602</v>
      </c>
      <c r="D41" s="201">
        <v>12755</v>
      </c>
      <c r="E41" s="201">
        <v>13821.809999999999</v>
      </c>
      <c r="F41" s="201">
        <v>71.430000000000007</v>
      </c>
    </row>
    <row r="42" s="107" customFormat="1">
      <c r="A42" s="200" t="s">
        <v>456</v>
      </c>
      <c r="B42" s="201" t="s">
        <v>119</v>
      </c>
      <c r="C42" s="201">
        <v>3517</v>
      </c>
      <c r="D42" s="201">
        <v>12145</v>
      </c>
      <c r="E42" s="201">
        <v>12832.049999999999</v>
      </c>
      <c r="F42" s="201">
        <v>78.099999999999994</v>
      </c>
    </row>
    <row r="43" s="107" customFormat="1">
      <c r="A43" s="200" t="s">
        <v>456</v>
      </c>
      <c r="B43" s="201" t="s">
        <v>120</v>
      </c>
      <c r="C43" s="201">
        <v>6604</v>
      </c>
      <c r="D43" s="201">
        <v>25986</v>
      </c>
      <c r="E43" s="201">
        <v>12554.5</v>
      </c>
      <c r="F43" s="201">
        <v>77.060000000000002</v>
      </c>
    </row>
    <row r="44" s="107" customFormat="1">
      <c r="A44" s="198" t="s">
        <v>384</v>
      </c>
      <c r="B44" s="199"/>
      <c r="C44" s="199">
        <v>101774</v>
      </c>
      <c r="D44" s="199">
        <v>415631</v>
      </c>
      <c r="E44" s="199">
        <v>12313.969999999999</v>
      </c>
      <c r="F44" s="199">
        <v>79.629999999999995</v>
      </c>
    </row>
    <row r="45" s="107" customFormat="1">
      <c r="A45" s="200" t="s">
        <v>384</v>
      </c>
      <c r="B45" s="201" t="s">
        <v>192</v>
      </c>
      <c r="C45" s="201">
        <v>24782</v>
      </c>
      <c r="D45" s="201">
        <v>105152</v>
      </c>
      <c r="E45" s="201">
        <v>11842.049999999999</v>
      </c>
      <c r="F45" s="201">
        <v>76.489999999999995</v>
      </c>
    </row>
    <row r="46" s="107" customFormat="1">
      <c r="A46" s="200" t="s">
        <v>384</v>
      </c>
      <c r="B46" s="201" t="s">
        <v>193</v>
      </c>
      <c r="C46" s="201">
        <v>22529</v>
      </c>
      <c r="D46" s="201">
        <v>93951</v>
      </c>
      <c r="E46" s="201">
        <v>11840.129999999999</v>
      </c>
      <c r="F46" s="201">
        <v>79.319999999999993</v>
      </c>
    </row>
    <row r="47" s="107" customFormat="1">
      <c r="A47" s="200" t="s">
        <v>384</v>
      </c>
      <c r="B47" s="201" t="s">
        <v>194</v>
      </c>
      <c r="C47" s="201">
        <v>14624</v>
      </c>
      <c r="D47" s="201">
        <v>57024</v>
      </c>
      <c r="E47" s="201">
        <v>13402.24</v>
      </c>
      <c r="F47" s="201">
        <v>80.950000000000003</v>
      </c>
    </row>
    <row r="48" s="107" customFormat="1">
      <c r="A48" s="200" t="s">
        <v>384</v>
      </c>
      <c r="B48" s="201" t="s">
        <v>195</v>
      </c>
      <c r="C48" s="201">
        <v>16641</v>
      </c>
      <c r="D48" s="201">
        <v>67666</v>
      </c>
      <c r="E48" s="201">
        <v>12496.370000000001</v>
      </c>
      <c r="F48" s="201">
        <v>82.609999999999999</v>
      </c>
    </row>
    <row r="49" s="107" customFormat="1">
      <c r="A49" s="200" t="s">
        <v>384</v>
      </c>
      <c r="B49" s="201" t="s">
        <v>196</v>
      </c>
      <c r="C49" s="201">
        <v>23198</v>
      </c>
      <c r="D49" s="201">
        <v>91838</v>
      </c>
      <c r="E49" s="201">
        <v>12528.940000000001</v>
      </c>
      <c r="F49" s="201">
        <v>80.489999999999995</v>
      </c>
    </row>
    <row r="50" s="107" customFormat="1">
      <c r="A50" s="198" t="s">
        <v>457</v>
      </c>
      <c r="B50" s="199"/>
      <c r="C50" s="199">
        <v>444653</v>
      </c>
      <c r="D50" s="199">
        <v>1968696</v>
      </c>
      <c r="E50" s="199">
        <v>10307.83</v>
      </c>
      <c r="F50" s="199">
        <v>72.989999999999995</v>
      </c>
    </row>
    <row r="51" s="107" customFormat="1">
      <c r="A51" s="200" t="s">
        <v>457</v>
      </c>
      <c r="B51" s="201" t="s">
        <v>84</v>
      </c>
      <c r="C51" s="201">
        <v>57238</v>
      </c>
      <c r="D51" s="201">
        <v>242423</v>
      </c>
      <c r="E51" s="201">
        <v>10059.08</v>
      </c>
      <c r="F51" s="201">
        <v>74.75</v>
      </c>
    </row>
    <row r="52" s="107" customFormat="1">
      <c r="A52" s="200" t="s">
        <v>457</v>
      </c>
      <c r="B52" s="201" t="s">
        <v>85</v>
      </c>
      <c r="C52" s="201">
        <v>38376</v>
      </c>
      <c r="D52" s="201">
        <v>153041</v>
      </c>
      <c r="E52" s="201">
        <v>9634.3199999999997</v>
      </c>
      <c r="F52" s="201">
        <v>74.579999999999998</v>
      </c>
    </row>
    <row r="53" s="107" customFormat="1">
      <c r="A53" s="200" t="s">
        <v>457</v>
      </c>
      <c r="B53" s="201" t="s">
        <v>86</v>
      </c>
      <c r="C53" s="201">
        <v>42018</v>
      </c>
      <c r="D53" s="201">
        <v>169156</v>
      </c>
      <c r="E53" s="201">
        <v>9470.0300000000007</v>
      </c>
      <c r="F53" s="201">
        <v>78.799999999999997</v>
      </c>
    </row>
    <row r="54" s="107" customFormat="1">
      <c r="A54" s="200" t="s">
        <v>457</v>
      </c>
      <c r="B54" s="201" t="s">
        <v>87</v>
      </c>
      <c r="C54" s="201">
        <v>25815</v>
      </c>
      <c r="D54" s="201">
        <v>116684</v>
      </c>
      <c r="E54" s="201">
        <v>11420.52</v>
      </c>
      <c r="F54" s="201">
        <v>73.900000000000006</v>
      </c>
    </row>
    <row r="55" s="107" customFormat="1">
      <c r="A55" s="200" t="s">
        <v>457</v>
      </c>
      <c r="B55" s="201" t="s">
        <v>88</v>
      </c>
      <c r="C55" s="201">
        <v>24377</v>
      </c>
      <c r="D55" s="201">
        <v>106621</v>
      </c>
      <c r="E55" s="201">
        <v>10218.719999999999</v>
      </c>
      <c r="F55" s="201">
        <v>75.319999999999993</v>
      </c>
    </row>
    <row r="56" s="107" customFormat="1">
      <c r="A56" s="200" t="s">
        <v>457</v>
      </c>
      <c r="B56" s="201" t="s">
        <v>89</v>
      </c>
      <c r="C56" s="201">
        <v>40429</v>
      </c>
      <c r="D56" s="201">
        <v>176217</v>
      </c>
      <c r="E56" s="201">
        <v>9928.6200000000008</v>
      </c>
      <c r="F56" s="201">
        <v>72.599999999999994</v>
      </c>
    </row>
    <row r="57" s="107" customFormat="1">
      <c r="A57" s="200" t="s">
        <v>457</v>
      </c>
      <c r="B57" s="201" t="s">
        <v>92</v>
      </c>
      <c r="C57" s="201">
        <v>12082</v>
      </c>
      <c r="D57" s="201">
        <v>49981</v>
      </c>
      <c r="E57" s="201">
        <v>9461.5200000000004</v>
      </c>
      <c r="F57" s="201">
        <v>73.129999999999995</v>
      </c>
    </row>
    <row r="58" s="107" customFormat="1">
      <c r="A58" s="200" t="s">
        <v>457</v>
      </c>
      <c r="B58" s="201" t="s">
        <v>95</v>
      </c>
      <c r="C58" s="201">
        <v>122998</v>
      </c>
      <c r="D58" s="201">
        <v>594193</v>
      </c>
      <c r="E58" s="201">
        <v>10690.68</v>
      </c>
      <c r="F58" s="201">
        <v>69.709999999999994</v>
      </c>
    </row>
    <row r="59" s="107" customFormat="1">
      <c r="A59" s="200" t="s">
        <v>457</v>
      </c>
      <c r="B59" s="201" t="s">
        <v>96</v>
      </c>
      <c r="C59" s="201">
        <v>59018</v>
      </c>
      <c r="D59" s="201">
        <v>267444</v>
      </c>
      <c r="E59" s="201">
        <v>10239.68</v>
      </c>
      <c r="F59" s="201">
        <v>74.120000000000005</v>
      </c>
    </row>
    <row r="60" s="107" customFormat="1">
      <c r="A60" s="200" t="s">
        <v>457</v>
      </c>
      <c r="B60" s="201" t="s">
        <v>97</v>
      </c>
      <c r="C60" s="201">
        <v>18906</v>
      </c>
      <c r="D60" s="201">
        <v>79711</v>
      </c>
      <c r="E60" s="201">
        <v>11353.58</v>
      </c>
      <c r="F60" s="201">
        <v>73.129999999999995</v>
      </c>
    </row>
    <row r="61" s="107" customFormat="1">
      <c r="A61" s="200" t="s">
        <v>457</v>
      </c>
      <c r="B61" s="201" t="s">
        <v>98</v>
      </c>
      <c r="C61" s="201">
        <v>3396</v>
      </c>
      <c r="D61" s="201">
        <v>13225</v>
      </c>
      <c r="E61" s="201">
        <v>10404.059999999999</v>
      </c>
      <c r="F61" s="201">
        <v>76.150000000000006</v>
      </c>
    </row>
    <row r="62" s="107" customFormat="1">
      <c r="A62" s="198" t="s">
        <v>458</v>
      </c>
      <c r="B62" s="199"/>
      <c r="C62" s="199">
        <v>48758</v>
      </c>
      <c r="D62" s="199">
        <v>195993</v>
      </c>
      <c r="E62" s="199">
        <v>11658.85</v>
      </c>
      <c r="F62" s="199">
        <v>76.230000000000004</v>
      </c>
    </row>
    <row r="63" s="107" customFormat="1">
      <c r="A63" s="200" t="s">
        <v>458</v>
      </c>
      <c r="B63" s="201" t="s">
        <v>206</v>
      </c>
      <c r="C63" s="201">
        <v>649</v>
      </c>
      <c r="D63" s="201">
        <v>2244</v>
      </c>
      <c r="E63" s="201">
        <v>14488.950000000001</v>
      </c>
      <c r="F63" s="201">
        <v>78.5</v>
      </c>
    </row>
    <row r="64" s="107" customFormat="1">
      <c r="A64" s="200" t="s">
        <v>458</v>
      </c>
      <c r="B64" s="201" t="s">
        <v>207</v>
      </c>
      <c r="C64" s="201">
        <v>4813</v>
      </c>
      <c r="D64" s="201">
        <v>17820</v>
      </c>
      <c r="E64" s="201">
        <v>14182.74</v>
      </c>
      <c r="F64" s="201">
        <v>76.890000000000001</v>
      </c>
    </row>
    <row r="65" s="107" customFormat="1">
      <c r="A65" s="200" t="s">
        <v>458</v>
      </c>
      <c r="B65" s="201" t="s">
        <v>208</v>
      </c>
      <c r="C65" s="201">
        <v>17198</v>
      </c>
      <c r="D65" s="201">
        <v>65520</v>
      </c>
      <c r="E65" s="201">
        <v>11086.49</v>
      </c>
      <c r="F65" s="201">
        <v>77.349999999999994</v>
      </c>
    </row>
    <row r="66" s="107" customFormat="1">
      <c r="A66" s="200" t="s">
        <v>458</v>
      </c>
      <c r="B66" s="201" t="s">
        <v>209</v>
      </c>
      <c r="C66" s="201">
        <v>5363</v>
      </c>
      <c r="D66" s="201">
        <v>19619</v>
      </c>
      <c r="E66" s="201">
        <v>10268.18</v>
      </c>
      <c r="F66" s="201">
        <v>75.689999999999998</v>
      </c>
    </row>
    <row r="67" s="107" customFormat="1">
      <c r="A67" s="200" t="s">
        <v>458</v>
      </c>
      <c r="B67" s="201" t="s">
        <v>210</v>
      </c>
      <c r="C67" s="201">
        <v>20735</v>
      </c>
      <c r="D67" s="201">
        <v>90790</v>
      </c>
      <c r="E67" s="201">
        <v>11807.09</v>
      </c>
      <c r="F67" s="201">
        <v>75.390000000000001</v>
      </c>
    </row>
    <row r="68" s="107" customFormat="1">
      <c r="A68" s="198" t="s">
        <v>382</v>
      </c>
      <c r="B68" s="199"/>
      <c r="C68" s="199">
        <v>174835</v>
      </c>
      <c r="D68" s="199">
        <v>635581</v>
      </c>
      <c r="E68" s="199">
        <v>11872.83</v>
      </c>
      <c r="F68" s="199">
        <v>75.510000000000005</v>
      </c>
    </row>
    <row r="69" s="107" customFormat="1">
      <c r="A69" s="200" t="s">
        <v>382</v>
      </c>
      <c r="B69" s="201" t="s">
        <v>149</v>
      </c>
      <c r="C69" s="201">
        <v>5303</v>
      </c>
      <c r="D69" s="201">
        <v>19479</v>
      </c>
      <c r="E69" s="201">
        <v>12525.73</v>
      </c>
      <c r="F69" s="201">
        <v>78.849999999999994</v>
      </c>
    </row>
    <row r="70" s="107" customFormat="1">
      <c r="A70" s="200" t="s">
        <v>382</v>
      </c>
      <c r="B70" s="201" t="s">
        <v>150</v>
      </c>
      <c r="C70" s="201">
        <v>5213</v>
      </c>
      <c r="D70" s="201">
        <v>17375</v>
      </c>
      <c r="E70" s="201">
        <v>11646.190000000001</v>
      </c>
      <c r="F70" s="201">
        <v>71.269999999999996</v>
      </c>
    </row>
    <row r="71" s="107" customFormat="1">
      <c r="A71" s="200" t="s">
        <v>382</v>
      </c>
      <c r="B71" s="201" t="s">
        <v>151</v>
      </c>
      <c r="C71" s="201">
        <v>26433</v>
      </c>
      <c r="D71" s="201">
        <v>104016</v>
      </c>
      <c r="E71" s="201">
        <v>11955.92</v>
      </c>
      <c r="F71" s="201">
        <v>76.280000000000001</v>
      </c>
    </row>
    <row r="72" s="107" customFormat="1">
      <c r="A72" s="200" t="s">
        <v>382</v>
      </c>
      <c r="B72" s="201" t="s">
        <v>152</v>
      </c>
      <c r="C72" s="201">
        <v>20272</v>
      </c>
      <c r="D72" s="201">
        <v>70522</v>
      </c>
      <c r="E72" s="201">
        <v>11682.860000000001</v>
      </c>
      <c r="F72" s="201">
        <v>71.079999999999998</v>
      </c>
    </row>
    <row r="73" s="107" customFormat="1">
      <c r="A73" s="200" t="s">
        <v>382</v>
      </c>
      <c r="B73" s="201" t="s">
        <v>153</v>
      </c>
      <c r="C73" s="201">
        <v>15341</v>
      </c>
      <c r="D73" s="201">
        <v>55585</v>
      </c>
      <c r="E73" s="201">
        <v>11578.01</v>
      </c>
      <c r="F73" s="201">
        <v>76.090000000000003</v>
      </c>
    </row>
    <row r="74" s="107" customFormat="1">
      <c r="A74" s="200" t="s">
        <v>382</v>
      </c>
      <c r="B74" s="201" t="s">
        <v>154</v>
      </c>
      <c r="C74" s="201">
        <v>11500</v>
      </c>
      <c r="D74" s="201">
        <v>39922</v>
      </c>
      <c r="E74" s="201">
        <v>11318.610000000001</v>
      </c>
      <c r="F74" s="201">
        <v>71.730000000000004</v>
      </c>
    </row>
    <row r="75" s="107" customFormat="1">
      <c r="A75" s="200" t="s">
        <v>382</v>
      </c>
      <c r="B75" s="201" t="s">
        <v>155</v>
      </c>
      <c r="C75" s="201">
        <v>10277</v>
      </c>
      <c r="D75" s="201">
        <v>39786</v>
      </c>
      <c r="E75" s="201">
        <v>12061.309999999999</v>
      </c>
      <c r="F75" s="201">
        <v>77.900000000000006</v>
      </c>
    </row>
    <row r="76" s="107" customFormat="1">
      <c r="A76" s="200" t="s">
        <v>382</v>
      </c>
      <c r="B76" s="201" t="s">
        <v>156</v>
      </c>
      <c r="C76" s="201">
        <v>8904</v>
      </c>
      <c r="D76" s="201">
        <v>31813</v>
      </c>
      <c r="E76" s="201">
        <v>13102.719999999999</v>
      </c>
      <c r="F76" s="201">
        <v>71.069999999999993</v>
      </c>
    </row>
    <row r="77" s="107" customFormat="1">
      <c r="A77" s="200" t="s">
        <v>382</v>
      </c>
      <c r="B77" s="201" t="s">
        <v>157</v>
      </c>
      <c r="C77" s="201">
        <v>61687</v>
      </c>
      <c r="D77" s="201">
        <v>222774</v>
      </c>
      <c r="E77" s="201">
        <v>11840.91</v>
      </c>
      <c r="F77" s="201">
        <v>78.040000000000006</v>
      </c>
    </row>
    <row r="78" s="107" customFormat="1">
      <c r="A78" s="200" t="s">
        <v>382</v>
      </c>
      <c r="B78" s="201" t="s">
        <v>158</v>
      </c>
      <c r="C78" s="201">
        <v>9905</v>
      </c>
      <c r="D78" s="201">
        <v>34309</v>
      </c>
      <c r="E78" s="201">
        <v>11726.4</v>
      </c>
      <c r="F78" s="201">
        <v>72.810000000000002</v>
      </c>
    </row>
    <row r="79" s="107" customFormat="1">
      <c r="A79" s="198" t="s">
        <v>387</v>
      </c>
      <c r="B79" s="199"/>
      <c r="C79" s="199">
        <v>99636</v>
      </c>
      <c r="D79" s="199">
        <v>384812</v>
      </c>
      <c r="E79" s="199">
        <v>11896.209999999999</v>
      </c>
      <c r="F79" s="199">
        <v>77.609999999999999</v>
      </c>
    </row>
    <row r="80" s="107" customFormat="1">
      <c r="A80" s="200" t="s">
        <v>387</v>
      </c>
      <c r="B80" s="201" t="s">
        <v>224</v>
      </c>
      <c r="C80" s="201">
        <v>11504</v>
      </c>
      <c r="D80" s="201">
        <v>44905</v>
      </c>
      <c r="E80" s="201">
        <v>12342.84</v>
      </c>
      <c r="F80" s="201">
        <v>80.569999999999993</v>
      </c>
    </row>
    <row r="81" s="107" customFormat="1">
      <c r="A81" s="200" t="s">
        <v>387</v>
      </c>
      <c r="B81" s="201" t="s">
        <v>225</v>
      </c>
      <c r="C81" s="201">
        <v>19664</v>
      </c>
      <c r="D81" s="201">
        <v>74090</v>
      </c>
      <c r="E81" s="201">
        <v>11668.25</v>
      </c>
      <c r="F81" s="201">
        <v>76.319999999999993</v>
      </c>
    </row>
    <row r="82" s="107" customFormat="1">
      <c r="A82" s="200" t="s">
        <v>387</v>
      </c>
      <c r="B82" s="201" t="s">
        <v>226</v>
      </c>
      <c r="C82" s="201">
        <v>12989</v>
      </c>
      <c r="D82" s="201">
        <v>49559</v>
      </c>
      <c r="E82" s="201">
        <v>11899.709999999999</v>
      </c>
      <c r="F82" s="201">
        <v>78.819999999999993</v>
      </c>
    </row>
    <row r="83" s="107" customFormat="1">
      <c r="A83" s="200" t="s">
        <v>387</v>
      </c>
      <c r="B83" s="201" t="s">
        <v>227</v>
      </c>
      <c r="C83" s="201">
        <v>14722</v>
      </c>
      <c r="D83" s="201">
        <v>57373</v>
      </c>
      <c r="E83" s="201">
        <v>11861.950000000001</v>
      </c>
      <c r="F83" s="201">
        <v>76.840000000000003</v>
      </c>
    </row>
    <row r="84" s="107" customFormat="1">
      <c r="A84" s="200" t="s">
        <v>387</v>
      </c>
      <c r="B84" s="201" t="s">
        <v>228</v>
      </c>
      <c r="C84" s="201">
        <v>10251</v>
      </c>
      <c r="D84" s="201">
        <v>40548</v>
      </c>
      <c r="E84" s="201">
        <v>12185.77</v>
      </c>
      <c r="F84" s="201">
        <v>77.239999999999995</v>
      </c>
    </row>
    <row r="85" s="107" customFormat="1">
      <c r="A85" s="200" t="s">
        <v>387</v>
      </c>
      <c r="B85" s="201" t="s">
        <v>229</v>
      </c>
      <c r="C85" s="201">
        <v>7977</v>
      </c>
      <c r="D85" s="201">
        <v>30139</v>
      </c>
      <c r="E85" s="201">
        <v>11868.41</v>
      </c>
      <c r="F85" s="201">
        <v>78.640000000000001</v>
      </c>
    </row>
    <row r="86" s="107" customFormat="1">
      <c r="A86" s="200" t="s">
        <v>387</v>
      </c>
      <c r="B86" s="201" t="s">
        <v>230</v>
      </c>
      <c r="C86" s="201">
        <v>10310</v>
      </c>
      <c r="D86" s="201">
        <v>42908</v>
      </c>
      <c r="E86" s="201">
        <v>11920.309999999999</v>
      </c>
      <c r="F86" s="201">
        <v>78.120000000000005</v>
      </c>
    </row>
    <row r="87" s="107" customFormat="1">
      <c r="A87" s="200" t="s">
        <v>387</v>
      </c>
      <c r="B87" s="201" t="s">
        <v>231</v>
      </c>
      <c r="C87" s="201">
        <v>12219</v>
      </c>
      <c r="D87" s="201">
        <v>45290</v>
      </c>
      <c r="E87" s="201">
        <v>11602.309999999999</v>
      </c>
      <c r="F87" s="201">
        <v>75.670000000000002</v>
      </c>
    </row>
    <row r="88" s="107" customFormat="1">
      <c r="A88" s="198" t="s">
        <v>459</v>
      </c>
      <c r="B88" s="199"/>
      <c r="C88" s="199">
        <v>96578</v>
      </c>
      <c r="D88" s="199">
        <v>355495</v>
      </c>
      <c r="E88" s="199">
        <v>12508.629999999999</v>
      </c>
      <c r="F88" s="199">
        <v>74.489999999999995</v>
      </c>
    </row>
    <row r="89" s="107" customFormat="1">
      <c r="A89" s="200" t="s">
        <v>459</v>
      </c>
      <c r="B89" s="201" t="s">
        <v>166</v>
      </c>
      <c r="C89" s="201">
        <v>10322</v>
      </c>
      <c r="D89" s="201">
        <v>38593</v>
      </c>
      <c r="E89" s="201">
        <v>13094.16</v>
      </c>
      <c r="F89" s="201">
        <v>72.939999999999998</v>
      </c>
    </row>
    <row r="90" s="107" customFormat="1">
      <c r="A90" s="200" t="s">
        <v>459</v>
      </c>
      <c r="B90" s="201" t="s">
        <v>167</v>
      </c>
      <c r="C90" s="201">
        <v>7672</v>
      </c>
      <c r="D90" s="201">
        <v>26606</v>
      </c>
      <c r="E90" s="201">
        <v>11951.799999999999</v>
      </c>
      <c r="F90" s="201">
        <v>73.260000000000005</v>
      </c>
    </row>
    <row r="91" s="107" customFormat="1">
      <c r="A91" s="200" t="s">
        <v>459</v>
      </c>
      <c r="B91" s="201" t="s">
        <v>168</v>
      </c>
      <c r="C91" s="201">
        <v>4160</v>
      </c>
      <c r="D91" s="201">
        <v>13788</v>
      </c>
      <c r="E91" s="201">
        <v>14118.75</v>
      </c>
      <c r="F91" s="201">
        <v>73.640000000000001</v>
      </c>
    </row>
    <row r="92" s="107" customFormat="1">
      <c r="A92" s="200" t="s">
        <v>459</v>
      </c>
      <c r="B92" s="201" t="s">
        <v>169</v>
      </c>
      <c r="C92" s="201">
        <v>7570</v>
      </c>
      <c r="D92" s="201">
        <v>29647</v>
      </c>
      <c r="E92" s="201">
        <v>12691.84</v>
      </c>
      <c r="F92" s="201">
        <v>71.010000000000005</v>
      </c>
    </row>
    <row r="93" s="107" customFormat="1">
      <c r="A93" s="200" t="s">
        <v>459</v>
      </c>
      <c r="B93" s="201" t="s">
        <v>170</v>
      </c>
      <c r="C93" s="201">
        <v>7186</v>
      </c>
      <c r="D93" s="201">
        <v>26066</v>
      </c>
      <c r="E93" s="201">
        <v>12165.290000000001</v>
      </c>
      <c r="F93" s="201">
        <v>75.370000000000005</v>
      </c>
    </row>
    <row r="94" s="107" customFormat="1">
      <c r="A94" s="200" t="s">
        <v>459</v>
      </c>
      <c r="B94" s="201" t="s">
        <v>171</v>
      </c>
      <c r="C94" s="201">
        <v>11070</v>
      </c>
      <c r="D94" s="201">
        <v>40533</v>
      </c>
      <c r="E94" s="201">
        <v>12056.379999999999</v>
      </c>
      <c r="F94" s="201">
        <v>74.680000000000007</v>
      </c>
    </row>
    <row r="95" s="107" customFormat="1">
      <c r="A95" s="200" t="s">
        <v>459</v>
      </c>
      <c r="B95" s="201" t="s">
        <v>172</v>
      </c>
      <c r="C95" s="201">
        <v>6945</v>
      </c>
      <c r="D95" s="201">
        <v>23894</v>
      </c>
      <c r="E95" s="201">
        <v>12154.459999999999</v>
      </c>
      <c r="F95" s="201">
        <v>73.329999999999998</v>
      </c>
    </row>
    <row r="96" s="107" customFormat="1">
      <c r="A96" s="200" t="s">
        <v>459</v>
      </c>
      <c r="B96" s="201" t="s">
        <v>173</v>
      </c>
      <c r="C96" s="201">
        <v>6639</v>
      </c>
      <c r="D96" s="201">
        <v>22732</v>
      </c>
      <c r="E96" s="201">
        <v>12804.200000000001</v>
      </c>
      <c r="F96" s="201">
        <v>76</v>
      </c>
    </row>
    <row r="97" s="107" customFormat="1">
      <c r="A97" s="200" t="s">
        <v>459</v>
      </c>
      <c r="B97" s="201" t="s">
        <v>174</v>
      </c>
      <c r="C97" s="201">
        <v>27138</v>
      </c>
      <c r="D97" s="201">
        <v>105627</v>
      </c>
      <c r="E97" s="201">
        <v>12053.959999999999</v>
      </c>
      <c r="F97" s="201">
        <v>74.400000000000006</v>
      </c>
    </row>
    <row r="98" s="107" customFormat="1">
      <c r="A98" s="200" t="s">
        <v>459</v>
      </c>
      <c r="B98" s="201" t="s">
        <v>175</v>
      </c>
      <c r="C98" s="201">
        <v>7876</v>
      </c>
      <c r="D98" s="201">
        <v>28009</v>
      </c>
      <c r="E98" s="201">
        <v>13995.15</v>
      </c>
      <c r="F98" s="201">
        <v>81.170000000000002</v>
      </c>
    </row>
    <row r="99" s="107" customFormat="1">
      <c r="A99" s="198" t="s">
        <v>380</v>
      </c>
      <c r="B99" s="199"/>
      <c r="C99" s="199">
        <v>217361</v>
      </c>
      <c r="D99" s="199">
        <v>942656</v>
      </c>
      <c r="E99" s="199">
        <v>11231.110000000001</v>
      </c>
      <c r="F99" s="199">
        <v>75.439999999999998</v>
      </c>
    </row>
    <row r="100" s="107" customFormat="1">
      <c r="A100" s="200" t="s">
        <v>380</v>
      </c>
      <c r="B100" s="201" t="s">
        <v>123</v>
      </c>
      <c r="C100" s="201">
        <v>3916</v>
      </c>
      <c r="D100" s="201">
        <v>14623</v>
      </c>
      <c r="E100" s="201">
        <v>10335.940000000001</v>
      </c>
      <c r="F100" s="201">
        <v>71.5</v>
      </c>
    </row>
    <row r="101" s="107" customFormat="1">
      <c r="A101" s="200" t="s">
        <v>380</v>
      </c>
      <c r="B101" s="201" t="s">
        <v>124</v>
      </c>
      <c r="C101" s="201">
        <v>5915</v>
      </c>
      <c r="D101" s="201">
        <v>25170</v>
      </c>
      <c r="E101" s="201">
        <v>11774.280000000001</v>
      </c>
      <c r="F101" s="201">
        <v>71.739999999999995</v>
      </c>
    </row>
    <row r="102" s="107" customFormat="1">
      <c r="A102" s="200" t="s">
        <v>380</v>
      </c>
      <c r="B102" s="201" t="s">
        <v>125</v>
      </c>
      <c r="C102" s="201">
        <v>15449</v>
      </c>
      <c r="D102" s="201">
        <v>65532</v>
      </c>
      <c r="E102" s="201">
        <v>11660.549999999999</v>
      </c>
      <c r="F102" s="201">
        <v>85.409999999999997</v>
      </c>
    </row>
    <row r="103" s="107" customFormat="1">
      <c r="A103" s="200" t="s">
        <v>380</v>
      </c>
      <c r="B103" s="201" t="s">
        <v>126</v>
      </c>
      <c r="C103" s="201">
        <v>18743</v>
      </c>
      <c r="D103" s="201">
        <v>77129</v>
      </c>
      <c r="E103" s="201">
        <v>11381.030000000001</v>
      </c>
      <c r="F103" s="201">
        <v>76.859999999999999</v>
      </c>
    </row>
    <row r="104" s="107" customFormat="1">
      <c r="A104" s="200" t="s">
        <v>380</v>
      </c>
      <c r="B104" s="201" t="s">
        <v>127</v>
      </c>
      <c r="C104" s="201">
        <v>14166</v>
      </c>
      <c r="D104" s="201">
        <v>53413</v>
      </c>
      <c r="E104" s="201">
        <v>11061.799999999999</v>
      </c>
      <c r="F104" s="201">
        <v>73.079999999999998</v>
      </c>
    </row>
    <row r="105" s="107" customFormat="1">
      <c r="A105" s="200" t="s">
        <v>380</v>
      </c>
      <c r="B105" s="201" t="s">
        <v>128</v>
      </c>
      <c r="C105" s="201">
        <v>9972</v>
      </c>
      <c r="D105" s="201">
        <v>37426</v>
      </c>
      <c r="E105" s="201">
        <v>12729.27</v>
      </c>
      <c r="F105" s="201">
        <v>73.980000000000004</v>
      </c>
    </row>
    <row r="106" s="107" customFormat="1">
      <c r="A106" s="200" t="s">
        <v>380</v>
      </c>
      <c r="B106" s="201" t="s">
        <v>129</v>
      </c>
      <c r="C106" s="201">
        <v>13337</v>
      </c>
      <c r="D106" s="201">
        <v>48491</v>
      </c>
      <c r="E106" s="201">
        <v>11208.040000000001</v>
      </c>
      <c r="F106" s="201">
        <v>72.019999999999996</v>
      </c>
    </row>
    <row r="107" s="107" customFormat="1">
      <c r="A107" s="200" t="s">
        <v>380</v>
      </c>
      <c r="B107" s="201" t="s">
        <v>130</v>
      </c>
      <c r="C107" s="201">
        <v>13546</v>
      </c>
      <c r="D107" s="201">
        <v>55806</v>
      </c>
      <c r="E107" s="201">
        <v>11556.799999999999</v>
      </c>
      <c r="F107" s="201">
        <v>73.549999999999997</v>
      </c>
    </row>
    <row r="108" s="107" customFormat="1">
      <c r="A108" s="200" t="s">
        <v>380</v>
      </c>
      <c r="B108" s="201" t="s">
        <v>131</v>
      </c>
      <c r="C108" s="201">
        <v>39465</v>
      </c>
      <c r="D108" s="201">
        <v>182064</v>
      </c>
      <c r="E108" s="201">
        <v>10382.4</v>
      </c>
      <c r="F108" s="201">
        <v>75.390000000000001</v>
      </c>
    </row>
    <row r="109" s="107" customFormat="1">
      <c r="A109" s="200" t="s">
        <v>380</v>
      </c>
      <c r="B109" s="201" t="s">
        <v>132</v>
      </c>
      <c r="C109" s="201">
        <v>25673</v>
      </c>
      <c r="D109" s="201">
        <v>127172</v>
      </c>
      <c r="E109" s="201">
        <v>10793.52</v>
      </c>
      <c r="F109" s="201">
        <v>76.930000000000007</v>
      </c>
    </row>
    <row r="110" s="107" customFormat="1">
      <c r="A110" s="200" t="s">
        <v>380</v>
      </c>
      <c r="B110" s="201" t="s">
        <v>133</v>
      </c>
      <c r="C110" s="201">
        <v>30095</v>
      </c>
      <c r="D110" s="201">
        <v>131414</v>
      </c>
      <c r="E110" s="201">
        <v>11857.92</v>
      </c>
      <c r="F110" s="201">
        <v>73.290000000000006</v>
      </c>
    </row>
    <row r="111" s="107" customFormat="1">
      <c r="A111" s="200" t="s">
        <v>380</v>
      </c>
      <c r="B111" s="201" t="s">
        <v>134</v>
      </c>
      <c r="C111" s="201">
        <v>23168</v>
      </c>
      <c r="D111" s="201">
        <v>108985</v>
      </c>
      <c r="E111" s="201">
        <v>11451.93</v>
      </c>
      <c r="F111" s="201">
        <v>75.370000000000005</v>
      </c>
    </row>
    <row r="112" s="107" customFormat="1">
      <c r="A112" s="200" t="s">
        <v>380</v>
      </c>
      <c r="B112" s="201" t="s">
        <v>135</v>
      </c>
      <c r="C112" s="201">
        <v>3916</v>
      </c>
      <c r="D112" s="201">
        <v>15431</v>
      </c>
      <c r="E112" s="201">
        <v>11189.58</v>
      </c>
      <c r="F112" s="201">
        <v>80.090000000000003</v>
      </c>
    </row>
    <row r="113" s="107" customFormat="1">
      <c r="A113" s="198" t="s">
        <v>381</v>
      </c>
      <c r="B113" s="199"/>
      <c r="C113" s="199">
        <v>163587</v>
      </c>
      <c r="D113" s="199">
        <v>687955</v>
      </c>
      <c r="E113" s="199">
        <v>12539.35</v>
      </c>
      <c r="F113" s="199">
        <v>77.609999999999999</v>
      </c>
    </row>
    <row r="114" s="107" customFormat="1">
      <c r="A114" s="200" t="s">
        <v>381</v>
      </c>
      <c r="B114" s="201" t="s">
        <v>138</v>
      </c>
      <c r="C114" s="201">
        <v>15456</v>
      </c>
      <c r="D114" s="201">
        <v>64194</v>
      </c>
      <c r="E114" s="201">
        <v>13445.76</v>
      </c>
      <c r="F114" s="201">
        <v>77.900000000000006</v>
      </c>
    </row>
    <row r="115" s="107" customFormat="1">
      <c r="A115" s="200" t="s">
        <v>381</v>
      </c>
      <c r="B115" s="201" t="s">
        <v>139</v>
      </c>
      <c r="C115" s="201">
        <v>15293</v>
      </c>
      <c r="D115" s="201">
        <v>66611</v>
      </c>
      <c r="E115" s="201">
        <v>12603.889999999999</v>
      </c>
      <c r="F115" s="201">
        <v>74.980000000000004</v>
      </c>
    </row>
    <row r="116" s="107" customFormat="1">
      <c r="A116" s="200" t="s">
        <v>381</v>
      </c>
      <c r="B116" s="201" t="s">
        <v>140</v>
      </c>
      <c r="C116" s="201">
        <v>10484</v>
      </c>
      <c r="D116" s="201">
        <v>38994</v>
      </c>
      <c r="E116" s="201">
        <v>13268.620000000001</v>
      </c>
      <c r="F116" s="201">
        <v>84.959999999999994</v>
      </c>
    </row>
    <row r="117" s="107" customFormat="1">
      <c r="A117" s="200" t="s">
        <v>381</v>
      </c>
      <c r="B117" s="201" t="s">
        <v>141</v>
      </c>
      <c r="C117" s="201">
        <v>19776</v>
      </c>
      <c r="D117" s="201">
        <v>77184</v>
      </c>
      <c r="E117" s="201">
        <v>14061.77</v>
      </c>
      <c r="F117" s="201">
        <v>78.420000000000002</v>
      </c>
    </row>
    <row r="118" s="107" customFormat="1">
      <c r="A118" s="200" t="s">
        <v>381</v>
      </c>
      <c r="B118" s="201" t="s">
        <v>142</v>
      </c>
      <c r="C118" s="201">
        <v>28426</v>
      </c>
      <c r="D118" s="201">
        <v>108597</v>
      </c>
      <c r="E118" s="201">
        <v>11158.030000000001</v>
      </c>
      <c r="F118" s="201">
        <v>77.340000000000003</v>
      </c>
    </row>
    <row r="119" s="107" customFormat="1">
      <c r="A119" s="200" t="s">
        <v>381</v>
      </c>
      <c r="B119" s="201" t="s">
        <v>143</v>
      </c>
      <c r="C119" s="201">
        <v>19047</v>
      </c>
      <c r="D119" s="201">
        <v>89893</v>
      </c>
      <c r="E119" s="201">
        <v>11824.01</v>
      </c>
      <c r="F119" s="201">
        <v>73.959999999999994</v>
      </c>
    </row>
    <row r="120" s="107" customFormat="1">
      <c r="A120" s="200" t="s">
        <v>381</v>
      </c>
      <c r="B120" s="201" t="s">
        <v>144</v>
      </c>
      <c r="C120" s="201">
        <v>38157</v>
      </c>
      <c r="D120" s="201">
        <v>173548</v>
      </c>
      <c r="E120" s="201">
        <v>12885.940000000001</v>
      </c>
      <c r="F120" s="201">
        <v>79.049999999999997</v>
      </c>
    </row>
    <row r="121" s="107" customFormat="1">
      <c r="A121" s="200" t="s">
        <v>381</v>
      </c>
      <c r="B121" s="201" t="s">
        <v>145</v>
      </c>
      <c r="C121" s="201">
        <v>16948</v>
      </c>
      <c r="D121" s="201">
        <v>68934</v>
      </c>
      <c r="E121" s="201">
        <v>11752.120000000001</v>
      </c>
      <c r="F121" s="201">
        <v>76.319999999999993</v>
      </c>
    </row>
    <row r="122" s="107" customFormat="1">
      <c r="A122" s="198" t="s">
        <v>460</v>
      </c>
      <c r="B122" s="199"/>
      <c r="C122" s="199">
        <v>18359</v>
      </c>
      <c r="D122" s="199">
        <v>72000</v>
      </c>
      <c r="E122" s="199">
        <v>13760.860000000001</v>
      </c>
      <c r="F122" s="199">
        <v>80.230000000000004</v>
      </c>
    </row>
    <row r="123" s="107" customFormat="1">
      <c r="A123" s="200" t="s">
        <v>460</v>
      </c>
      <c r="B123" s="201" t="s">
        <v>161</v>
      </c>
      <c r="C123" s="201">
        <v>3873</v>
      </c>
      <c r="D123" s="201">
        <v>15259</v>
      </c>
      <c r="E123" s="201">
        <v>12772.040000000001</v>
      </c>
      <c r="F123" s="201">
        <v>78.540000000000006</v>
      </c>
    </row>
    <row r="124" s="107" customFormat="1">
      <c r="A124" s="200" t="s">
        <v>460</v>
      </c>
      <c r="B124" s="201" t="s">
        <v>162</v>
      </c>
      <c r="C124" s="201">
        <v>8200</v>
      </c>
      <c r="D124" s="201">
        <v>31812</v>
      </c>
      <c r="E124" s="201">
        <v>14604.860000000001</v>
      </c>
      <c r="F124" s="201">
        <v>81.310000000000002</v>
      </c>
    </row>
    <row r="125" s="107" customFormat="1">
      <c r="A125" s="200" t="s">
        <v>460</v>
      </c>
      <c r="B125" s="201" t="s">
        <v>163</v>
      </c>
      <c r="C125" s="201">
        <v>6286</v>
      </c>
      <c r="D125" s="201">
        <v>24929</v>
      </c>
      <c r="E125" s="201">
        <v>13289.08</v>
      </c>
      <c r="F125" s="201">
        <v>79.739999999999995</v>
      </c>
    </row>
    <row r="126" s="107" customFormat="1">
      <c r="A126" s="198" t="s">
        <v>461</v>
      </c>
      <c r="B126" s="199"/>
      <c r="C126" s="199">
        <v>115856</v>
      </c>
      <c r="D126" s="199">
        <v>440205</v>
      </c>
      <c r="E126" s="199">
        <v>11139.639999999999</v>
      </c>
      <c r="F126" s="199">
        <v>75.140000000000001</v>
      </c>
    </row>
    <row r="127" s="107" customFormat="1">
      <c r="A127" s="200" t="s">
        <v>461</v>
      </c>
      <c r="B127" s="201" t="s">
        <v>178</v>
      </c>
      <c r="C127" s="201">
        <v>4424</v>
      </c>
      <c r="D127" s="201">
        <v>16434</v>
      </c>
      <c r="E127" s="201">
        <v>12252.440000000001</v>
      </c>
      <c r="F127" s="201">
        <v>76.519999999999996</v>
      </c>
    </row>
    <row r="128" s="107" customFormat="1">
      <c r="A128" s="200" t="s">
        <v>461</v>
      </c>
      <c r="B128" s="201" t="s">
        <v>179</v>
      </c>
      <c r="C128" s="201">
        <v>4497</v>
      </c>
      <c r="D128" s="201">
        <v>17402</v>
      </c>
      <c r="E128" s="201">
        <v>10305.219999999999</v>
      </c>
      <c r="F128" s="201">
        <v>75.319999999999993</v>
      </c>
    </row>
    <row r="129" s="107" customFormat="1">
      <c r="A129" s="200" t="s">
        <v>461</v>
      </c>
      <c r="B129" s="201" t="s">
        <v>180</v>
      </c>
      <c r="C129" s="201">
        <v>9266</v>
      </c>
      <c r="D129" s="201">
        <v>34079</v>
      </c>
      <c r="E129" s="201">
        <v>11053.360000000001</v>
      </c>
      <c r="F129" s="201">
        <v>74.049999999999997</v>
      </c>
    </row>
    <row r="130" s="107" customFormat="1">
      <c r="A130" s="200" t="s">
        <v>461</v>
      </c>
      <c r="B130" s="201" t="s">
        <v>181</v>
      </c>
      <c r="C130" s="201">
        <v>9985</v>
      </c>
      <c r="D130" s="201">
        <v>36959</v>
      </c>
      <c r="E130" s="201">
        <v>10633.58</v>
      </c>
      <c r="F130" s="201">
        <v>71.819999999999993</v>
      </c>
    </row>
    <row r="131" s="107" customFormat="1">
      <c r="A131" s="200" t="s">
        <v>461</v>
      </c>
      <c r="B131" s="201" t="s">
        <v>182</v>
      </c>
      <c r="C131" s="201">
        <v>18521</v>
      </c>
      <c r="D131" s="201">
        <v>72211</v>
      </c>
      <c r="E131" s="201">
        <v>10601.57</v>
      </c>
      <c r="F131" s="201">
        <v>75.719999999999999</v>
      </c>
    </row>
    <row r="132" s="107" customFormat="1">
      <c r="A132" s="200" t="s">
        <v>461</v>
      </c>
      <c r="B132" s="201" t="s">
        <v>183</v>
      </c>
      <c r="C132" s="201">
        <v>15485</v>
      </c>
      <c r="D132" s="201">
        <v>59737</v>
      </c>
      <c r="E132" s="201">
        <v>11188.459999999999</v>
      </c>
      <c r="F132" s="201">
        <v>75.780000000000001</v>
      </c>
    </row>
    <row r="133" s="107" customFormat="1">
      <c r="A133" s="200" t="s">
        <v>461</v>
      </c>
      <c r="B133" s="201" t="s">
        <v>184</v>
      </c>
      <c r="C133" s="201">
        <v>8488</v>
      </c>
      <c r="D133" s="201">
        <v>31038</v>
      </c>
      <c r="E133" s="201">
        <v>10232.51</v>
      </c>
      <c r="F133" s="201">
        <v>74.980000000000004</v>
      </c>
    </row>
    <row r="134" s="107" customFormat="1">
      <c r="A134" s="200" t="s">
        <v>461</v>
      </c>
      <c r="B134" s="201" t="s">
        <v>185</v>
      </c>
      <c r="C134" s="201">
        <v>6478</v>
      </c>
      <c r="D134" s="201">
        <v>22910</v>
      </c>
      <c r="E134" s="201">
        <v>11587.610000000001</v>
      </c>
      <c r="F134" s="201">
        <v>72.939999999999998</v>
      </c>
    </row>
    <row r="135" s="107" customFormat="1">
      <c r="A135" s="200" t="s">
        <v>461</v>
      </c>
      <c r="B135" s="201" t="s">
        <v>186</v>
      </c>
      <c r="C135" s="201">
        <v>13819</v>
      </c>
      <c r="D135" s="201">
        <v>52529</v>
      </c>
      <c r="E135" s="201">
        <v>10597.82</v>
      </c>
      <c r="F135" s="201">
        <v>75.730000000000004</v>
      </c>
    </row>
    <row r="136" s="107" customFormat="1">
      <c r="A136" s="200" t="s">
        <v>461</v>
      </c>
      <c r="B136" s="201" t="s">
        <v>187</v>
      </c>
      <c r="C136" s="201">
        <v>7748</v>
      </c>
      <c r="D136" s="201">
        <v>30785</v>
      </c>
      <c r="E136" s="201">
        <v>12245.32</v>
      </c>
      <c r="F136" s="201">
        <v>78.719999999999999</v>
      </c>
    </row>
    <row r="137" s="107" customFormat="1">
      <c r="A137" s="200" t="s">
        <v>461</v>
      </c>
      <c r="B137" s="201" t="s">
        <v>188</v>
      </c>
      <c r="C137" s="201">
        <v>8097</v>
      </c>
      <c r="D137" s="201">
        <v>32834</v>
      </c>
      <c r="E137" s="201">
        <v>11691.16</v>
      </c>
      <c r="F137" s="201">
        <v>72.879999999999995</v>
      </c>
    </row>
    <row r="138" s="107" customFormat="1">
      <c r="A138" s="200" t="s">
        <v>461</v>
      </c>
      <c r="B138" s="201" t="s">
        <v>189</v>
      </c>
      <c r="C138" s="201">
        <v>9048</v>
      </c>
      <c r="D138" s="201">
        <v>33287</v>
      </c>
      <c r="E138" s="201">
        <v>12582.370000000001</v>
      </c>
      <c r="F138" s="201">
        <v>76.469999999999999</v>
      </c>
    </row>
    <row r="139" s="107" customFormat="1">
      <c r="A139" s="198" t="s">
        <v>385</v>
      </c>
      <c r="B139" s="199"/>
      <c r="C139" s="199">
        <v>42616</v>
      </c>
      <c r="D139" s="199">
        <v>164699</v>
      </c>
      <c r="E139" s="199">
        <v>11780.139999999999</v>
      </c>
      <c r="F139" s="199">
        <v>78.040000000000006</v>
      </c>
    </row>
    <row r="140" s="107" customFormat="1">
      <c r="A140" s="200" t="s">
        <v>385</v>
      </c>
      <c r="B140" s="201" t="s">
        <v>199</v>
      </c>
      <c r="C140" s="201">
        <v>5065</v>
      </c>
      <c r="D140" s="201">
        <v>17414</v>
      </c>
      <c r="E140" s="201">
        <v>12888.75</v>
      </c>
      <c r="F140" s="201">
        <v>76.75</v>
      </c>
    </row>
    <row r="141" s="107" customFormat="1">
      <c r="A141" s="200" t="s">
        <v>385</v>
      </c>
      <c r="B141" s="201" t="s">
        <v>200</v>
      </c>
      <c r="C141" s="201">
        <v>7079</v>
      </c>
      <c r="D141" s="201">
        <v>27540</v>
      </c>
      <c r="E141" s="201">
        <v>12489.9</v>
      </c>
      <c r="F141" s="201">
        <v>82.390000000000001</v>
      </c>
    </row>
    <row r="142" s="107" customFormat="1">
      <c r="A142" s="200" t="s">
        <v>385</v>
      </c>
      <c r="B142" s="201" t="s">
        <v>201</v>
      </c>
      <c r="C142" s="201">
        <v>8763</v>
      </c>
      <c r="D142" s="201">
        <v>35026</v>
      </c>
      <c r="E142" s="201">
        <v>11483.950000000001</v>
      </c>
      <c r="F142" s="201">
        <v>75.959999999999994</v>
      </c>
    </row>
    <row r="143" s="107" customFormat="1">
      <c r="A143" s="200" t="s">
        <v>385</v>
      </c>
      <c r="B143" s="201" t="s">
        <v>202</v>
      </c>
      <c r="C143" s="201">
        <v>12160</v>
      </c>
      <c r="D143" s="201">
        <v>48512</v>
      </c>
      <c r="E143" s="201">
        <v>11336.540000000001</v>
      </c>
      <c r="F143" s="201">
        <v>76.810000000000002</v>
      </c>
    </row>
    <row r="144" s="107" customFormat="1">
      <c r="A144" s="200" t="s">
        <v>385</v>
      </c>
      <c r="B144" s="201" t="s">
        <v>203</v>
      </c>
      <c r="C144" s="201">
        <v>9549</v>
      </c>
      <c r="D144" s="201">
        <v>36207</v>
      </c>
      <c r="E144" s="201">
        <v>11587.969999999999</v>
      </c>
      <c r="F144" s="201">
        <v>79.079999999999998</v>
      </c>
    </row>
    <row r="145" s="107" customFormat="1">
      <c r="A145" s="198" t="s">
        <v>386</v>
      </c>
      <c r="B145" s="199"/>
      <c r="C145" s="199">
        <v>73225</v>
      </c>
      <c r="D145" s="199">
        <v>286231</v>
      </c>
      <c r="E145" s="199">
        <v>11839.639999999999</v>
      </c>
      <c r="F145" s="199">
        <v>79.349999999999994</v>
      </c>
    </row>
    <row r="146" s="107" customFormat="1">
      <c r="A146" s="200" t="s">
        <v>386</v>
      </c>
      <c r="B146" s="201" t="s">
        <v>213</v>
      </c>
      <c r="C146" s="201">
        <v>20853</v>
      </c>
      <c r="D146" s="201">
        <v>80954</v>
      </c>
      <c r="E146" s="201">
        <v>12441.940000000001</v>
      </c>
      <c r="F146" s="201">
        <v>76.769999999999996</v>
      </c>
    </row>
    <row r="147" s="107" customFormat="1">
      <c r="A147" s="200" t="s">
        <v>386</v>
      </c>
      <c r="B147" s="201" t="s">
        <v>214</v>
      </c>
      <c r="C147" s="201">
        <v>18123</v>
      </c>
      <c r="D147" s="201">
        <v>77149</v>
      </c>
      <c r="E147" s="201">
        <v>11559.58</v>
      </c>
      <c r="F147" s="201">
        <v>84.069999999999993</v>
      </c>
    </row>
    <row r="148" s="107" customFormat="1">
      <c r="A148" s="200" t="s">
        <v>386</v>
      </c>
      <c r="B148" s="201" t="s">
        <v>215</v>
      </c>
      <c r="C148" s="201">
        <v>6382</v>
      </c>
      <c r="D148" s="201">
        <v>20137</v>
      </c>
      <c r="E148" s="201">
        <v>12330.629999999999</v>
      </c>
      <c r="F148" s="201">
        <v>79.310000000000002</v>
      </c>
    </row>
    <row r="149" s="107" customFormat="1">
      <c r="A149" s="200" t="s">
        <v>386</v>
      </c>
      <c r="B149" s="201" t="s">
        <v>216</v>
      </c>
      <c r="C149" s="201">
        <v>27867</v>
      </c>
      <c r="D149" s="201">
        <v>107991</v>
      </c>
      <c r="E149" s="201">
        <v>11496.65</v>
      </c>
      <c r="F149" s="201">
        <v>78.340000000000003</v>
      </c>
    </row>
    <row r="150" s="107" customFormat="1">
      <c r="A150" s="198" t="s">
        <v>462</v>
      </c>
      <c r="B150" s="199"/>
      <c r="C150" s="199">
        <v>20607</v>
      </c>
      <c r="D150" s="199">
        <v>77917</v>
      </c>
      <c r="E150" s="199">
        <v>13377.549999999999</v>
      </c>
      <c r="F150" s="199">
        <v>77.060000000000002</v>
      </c>
    </row>
    <row r="151" s="107" customFormat="1">
      <c r="A151" s="200" t="s">
        <v>462</v>
      </c>
      <c r="B151" s="201" t="s">
        <v>463</v>
      </c>
      <c r="C151" s="201">
        <v>4791</v>
      </c>
      <c r="D151" s="201">
        <v>18926</v>
      </c>
      <c r="E151" s="201">
        <v>15432.809999999999</v>
      </c>
      <c r="F151" s="201">
        <v>74.730000000000004</v>
      </c>
    </row>
    <row r="152" s="107" customFormat="1">
      <c r="A152" s="200" t="s">
        <v>462</v>
      </c>
      <c r="B152" s="201" t="s">
        <v>220</v>
      </c>
      <c r="C152" s="201">
        <v>2941</v>
      </c>
      <c r="D152" s="201">
        <v>12829</v>
      </c>
      <c r="E152" s="201">
        <v>15001.34</v>
      </c>
      <c r="F152" s="201">
        <v>75.680000000000007</v>
      </c>
    </row>
    <row r="153" s="107" customFormat="1">
      <c r="A153" s="200" t="s">
        <v>462</v>
      </c>
      <c r="B153" s="201" t="s">
        <v>221</v>
      </c>
      <c r="C153" s="201">
        <v>12875</v>
      </c>
      <c r="D153" s="201">
        <v>46162</v>
      </c>
      <c r="E153" s="201">
        <v>12083.639999999999</v>
      </c>
      <c r="F153" s="201">
        <v>78.849999999999994</v>
      </c>
    </row>
  </sheetData>
  <mergeCells count="2">
    <mergeCell ref="A1:F1"/>
    <mergeCell ref="A3:B3"/>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7">
    <outlinePr applyStyles="0" summaryBelow="1" summaryRight="1" showOutlineSymbols="1"/>
    <pageSetUpPr autoPageBreaks="1" fitToPage="0"/>
  </sheetPr>
  <sheetViews>
    <sheetView topLeftCell="A4" zoomScale="100" workbookViewId="0">
      <selection activeCell="C6" activeCellId="0" sqref="C6:C131"/>
    </sheetView>
  </sheetViews>
  <sheetFormatPr defaultColWidth="8" defaultRowHeight="12.75"/>
  <cols>
    <col customWidth="1" min="1" max="1" style="202" width="0.15833333333333299"/>
    <col customWidth="1" min="2" max="2" style="202" width="10.141666666666699"/>
    <col customWidth="1" min="3" max="3" style="202" width="13.225"/>
    <col customWidth="1" min="4" max="4" style="202" width="14.699999999999999"/>
    <col customWidth="1" min="5" max="8" style="202" width="13.225"/>
    <col customWidth="1" min="9" max="9" style="202" width="14.699999999999999"/>
    <col customWidth="1" min="10" max="11" style="202" width="13.225"/>
    <col customWidth="1" min="12" max="12" style="202" width="35.274999999999999"/>
    <col min="13" max="16384" style="202" width="8"/>
  </cols>
  <sheetData>
    <row r="1" s="202" customFormat="1" ht="10" customHeight="1">
      <c r="A1" s="203"/>
      <c r="B1" s="203"/>
      <c r="C1" s="203"/>
      <c r="D1" s="203"/>
      <c r="E1" s="203"/>
      <c r="F1" s="203"/>
      <c r="G1" s="203"/>
      <c r="H1" s="203"/>
      <c r="I1" s="203"/>
      <c r="J1" s="203"/>
      <c r="K1" s="203"/>
      <c r="L1" s="203"/>
    </row>
    <row r="2" s="202" customFormat="1" ht="42" customHeight="1">
      <c r="A2" s="203"/>
      <c r="B2" s="204" t="s">
        <v>473</v>
      </c>
      <c r="C2" s="204"/>
      <c r="D2" s="204"/>
      <c r="E2" s="204"/>
      <c r="F2" s="204"/>
      <c r="G2" s="204"/>
      <c r="H2" s="204"/>
      <c r="I2" s="204"/>
      <c r="J2" s="204"/>
      <c r="K2" s="204"/>
      <c r="L2" s="203"/>
    </row>
    <row r="3" s="202" customFormat="1" ht="66" hidden="1" customHeight="1">
      <c r="A3" s="203"/>
      <c r="B3" s="203"/>
      <c r="C3" s="203"/>
      <c r="D3" s="203"/>
      <c r="E3" s="203"/>
      <c r="F3" s="203"/>
      <c r="G3" s="203"/>
      <c r="H3" s="203"/>
      <c r="I3" s="203"/>
      <c r="J3" s="203"/>
      <c r="K3" s="203"/>
      <c r="L3" s="203"/>
    </row>
    <row r="4" s="202" customFormat="1" ht="41" customHeight="1">
      <c r="A4" s="203"/>
      <c r="B4" s="205" t="s">
        <v>4</v>
      </c>
      <c r="C4" s="205" t="s">
        <v>474</v>
      </c>
      <c r="D4" s="205"/>
      <c r="E4" s="205"/>
      <c r="F4" s="205"/>
      <c r="G4" s="205"/>
      <c r="H4" s="205" t="s">
        <v>475</v>
      </c>
      <c r="I4" s="205"/>
      <c r="J4" s="205"/>
      <c r="K4" s="205"/>
      <c r="L4" s="203"/>
    </row>
    <row r="5" s="202" customFormat="1" ht="61" customHeight="1">
      <c r="A5" s="203"/>
      <c r="B5" s="205"/>
      <c r="C5" s="205" t="s">
        <v>476</v>
      </c>
      <c r="D5" s="206" t="s">
        <v>477</v>
      </c>
      <c r="E5" s="205" t="s">
        <v>478</v>
      </c>
      <c r="F5" s="207" t="s">
        <v>479</v>
      </c>
      <c r="G5" s="208" t="s">
        <v>480</v>
      </c>
      <c r="H5" s="205" t="s">
        <v>476</v>
      </c>
      <c r="I5" s="206" t="s">
        <v>477</v>
      </c>
      <c r="J5" s="205" t="s">
        <v>478</v>
      </c>
      <c r="K5" s="207" t="s">
        <v>479</v>
      </c>
      <c r="L5" s="203"/>
    </row>
    <row r="6" s="202" customFormat="1" ht="30" customHeight="1">
      <c r="A6" s="203"/>
      <c r="B6" s="209" t="s">
        <v>59</v>
      </c>
      <c r="C6" s="209" t="s">
        <v>481</v>
      </c>
      <c r="D6" s="209" t="s">
        <v>276</v>
      </c>
      <c r="E6" s="209" t="s">
        <v>482</v>
      </c>
      <c r="F6" s="209" t="s">
        <v>483</v>
      </c>
      <c r="G6" s="209" t="s">
        <v>482</v>
      </c>
      <c r="H6" s="209" t="s">
        <v>484</v>
      </c>
      <c r="I6" s="209" t="s">
        <v>485</v>
      </c>
      <c r="J6" s="209" t="s">
        <v>482</v>
      </c>
      <c r="K6" s="209" t="s">
        <v>486</v>
      </c>
      <c r="L6" s="203"/>
    </row>
    <row r="7" s="202" customFormat="1" ht="30" customHeight="1">
      <c r="A7" s="203"/>
      <c r="B7" s="209" t="s">
        <v>65</v>
      </c>
      <c r="C7" s="209" t="s">
        <v>487</v>
      </c>
      <c r="D7" s="209" t="s">
        <v>488</v>
      </c>
      <c r="E7" s="209" t="s">
        <v>247</v>
      </c>
      <c r="F7" s="209" t="s">
        <v>482</v>
      </c>
      <c r="G7" s="209" t="s">
        <v>482</v>
      </c>
      <c r="H7" s="209" t="s">
        <v>489</v>
      </c>
      <c r="I7" s="209" t="s">
        <v>490</v>
      </c>
      <c r="J7" s="209" t="s">
        <v>491</v>
      </c>
      <c r="K7" s="209" t="s">
        <v>482</v>
      </c>
      <c r="L7" s="203"/>
    </row>
    <row r="8" s="202" customFormat="1" ht="30" customHeight="1">
      <c r="A8" s="203"/>
      <c r="B8" s="209" t="s">
        <v>69</v>
      </c>
      <c r="C8" s="209" t="s">
        <v>339</v>
      </c>
      <c r="D8" s="209" t="s">
        <v>339</v>
      </c>
      <c r="E8" s="209" t="s">
        <v>482</v>
      </c>
      <c r="F8" s="209" t="s">
        <v>482</v>
      </c>
      <c r="G8" s="209" t="s">
        <v>482</v>
      </c>
      <c r="H8" s="209" t="s">
        <v>492</v>
      </c>
      <c r="I8" s="209" t="s">
        <v>492</v>
      </c>
      <c r="J8" s="209" t="s">
        <v>482</v>
      </c>
      <c r="K8" s="209" t="s">
        <v>482</v>
      </c>
      <c r="L8" s="203"/>
    </row>
    <row r="9" s="202" customFormat="1" ht="30" customHeight="1">
      <c r="A9" s="203"/>
      <c r="B9" s="209" t="s">
        <v>71</v>
      </c>
      <c r="C9" s="209" t="s">
        <v>493</v>
      </c>
      <c r="D9" s="209" t="s">
        <v>493</v>
      </c>
      <c r="E9" s="209" t="s">
        <v>482</v>
      </c>
      <c r="F9" s="209" t="s">
        <v>482</v>
      </c>
      <c r="G9" s="209" t="s">
        <v>482</v>
      </c>
      <c r="H9" s="209" t="s">
        <v>494</v>
      </c>
      <c r="I9" s="209" t="s">
        <v>494</v>
      </c>
      <c r="J9" s="209" t="s">
        <v>482</v>
      </c>
      <c r="K9" s="209" t="s">
        <v>482</v>
      </c>
      <c r="L9" s="203"/>
    </row>
    <row r="10" s="202" customFormat="1" ht="30" customHeight="1">
      <c r="A10" s="203"/>
      <c r="B10" s="209" t="s">
        <v>73</v>
      </c>
      <c r="C10" s="209" t="s">
        <v>495</v>
      </c>
      <c r="D10" s="209" t="s">
        <v>495</v>
      </c>
      <c r="E10" s="209" t="s">
        <v>482</v>
      </c>
      <c r="F10" s="209" t="s">
        <v>482</v>
      </c>
      <c r="G10" s="209" t="s">
        <v>482</v>
      </c>
      <c r="H10" s="209" t="s">
        <v>496</v>
      </c>
      <c r="I10" s="209" t="s">
        <v>496</v>
      </c>
      <c r="J10" s="209" t="s">
        <v>482</v>
      </c>
      <c r="K10" s="209" t="s">
        <v>482</v>
      </c>
      <c r="L10" s="203"/>
    </row>
    <row r="11" s="202" customFormat="1" ht="30" customHeight="1">
      <c r="A11" s="203"/>
      <c r="B11" s="209" t="s">
        <v>497</v>
      </c>
      <c r="C11" s="209" t="s">
        <v>498</v>
      </c>
      <c r="D11" s="209" t="s">
        <v>498</v>
      </c>
      <c r="E11" s="209" t="s">
        <v>482</v>
      </c>
      <c r="F11" s="209" t="s">
        <v>482</v>
      </c>
      <c r="G11" s="209" t="s">
        <v>482</v>
      </c>
      <c r="H11" s="209" t="s">
        <v>499</v>
      </c>
      <c r="I11" s="209" t="s">
        <v>499</v>
      </c>
      <c r="J11" s="209" t="s">
        <v>482</v>
      </c>
      <c r="K11" s="209" t="s">
        <v>482</v>
      </c>
      <c r="L11" s="203"/>
    </row>
    <row r="12" s="202" customFormat="1" ht="30" customHeight="1">
      <c r="A12" s="203"/>
      <c r="B12" s="209" t="s">
        <v>77</v>
      </c>
      <c r="C12" s="209" t="s">
        <v>500</v>
      </c>
      <c r="D12" s="209" t="s">
        <v>500</v>
      </c>
      <c r="E12" s="209" t="s">
        <v>482</v>
      </c>
      <c r="F12" s="209" t="s">
        <v>482</v>
      </c>
      <c r="G12" s="209" t="s">
        <v>482</v>
      </c>
      <c r="H12" s="209" t="s">
        <v>501</v>
      </c>
      <c r="I12" s="209" t="s">
        <v>502</v>
      </c>
      <c r="J12" s="209" t="s">
        <v>482</v>
      </c>
      <c r="K12" s="209" t="s">
        <v>325</v>
      </c>
      <c r="L12" s="203"/>
    </row>
    <row r="13" s="202" customFormat="1" ht="30" customHeight="1">
      <c r="A13" s="203"/>
      <c r="B13" s="209" t="s">
        <v>503</v>
      </c>
      <c r="C13" s="209" t="s">
        <v>504</v>
      </c>
      <c r="D13" s="209" t="s">
        <v>504</v>
      </c>
      <c r="E13" s="209" t="s">
        <v>482</v>
      </c>
      <c r="F13" s="209" t="s">
        <v>482</v>
      </c>
      <c r="G13" s="209" t="s">
        <v>482</v>
      </c>
      <c r="H13" s="209" t="s">
        <v>505</v>
      </c>
      <c r="I13" s="209" t="s">
        <v>506</v>
      </c>
      <c r="J13" s="209" t="s">
        <v>507</v>
      </c>
      <c r="K13" s="209" t="s">
        <v>482</v>
      </c>
      <c r="L13" s="203"/>
    </row>
    <row r="14" s="202" customFormat="1" ht="30" customHeight="1">
      <c r="A14" s="203"/>
      <c r="B14" s="209" t="s">
        <v>508</v>
      </c>
      <c r="C14" s="209" t="s">
        <v>509</v>
      </c>
      <c r="D14" s="209" t="s">
        <v>509</v>
      </c>
      <c r="E14" s="209" t="s">
        <v>482</v>
      </c>
      <c r="F14" s="209" t="s">
        <v>482</v>
      </c>
      <c r="G14" s="209" t="s">
        <v>482</v>
      </c>
      <c r="H14" s="209" t="s">
        <v>510</v>
      </c>
      <c r="I14" s="209" t="s">
        <v>510</v>
      </c>
      <c r="J14" s="209" t="s">
        <v>482</v>
      </c>
      <c r="K14" s="209" t="s">
        <v>482</v>
      </c>
      <c r="L14" s="203"/>
    </row>
    <row r="15" s="202" customFormat="1" ht="30" customHeight="1">
      <c r="A15" s="203"/>
      <c r="B15" s="209" t="s">
        <v>81</v>
      </c>
      <c r="C15" s="209" t="s">
        <v>482</v>
      </c>
      <c r="D15" s="209" t="s">
        <v>482</v>
      </c>
      <c r="E15" s="209" t="s">
        <v>482</v>
      </c>
      <c r="F15" s="209" t="s">
        <v>482</v>
      </c>
      <c r="G15" s="209" t="s">
        <v>482</v>
      </c>
      <c r="H15" s="209" t="s">
        <v>511</v>
      </c>
      <c r="I15" s="209" t="s">
        <v>511</v>
      </c>
      <c r="J15" s="209" t="s">
        <v>482</v>
      </c>
      <c r="K15" s="209" t="s">
        <v>482</v>
      </c>
      <c r="L15" s="203"/>
    </row>
    <row r="16" s="202" customFormat="1" ht="30" customHeight="1">
      <c r="A16" s="203"/>
      <c r="B16" s="209" t="s">
        <v>453</v>
      </c>
      <c r="C16" s="209" t="s">
        <v>512</v>
      </c>
      <c r="D16" s="209" t="s">
        <v>512</v>
      </c>
      <c r="E16" s="209" t="s">
        <v>482</v>
      </c>
      <c r="F16" s="209" t="s">
        <v>482</v>
      </c>
      <c r="G16" s="209" t="s">
        <v>482</v>
      </c>
      <c r="H16" s="209" t="s">
        <v>513</v>
      </c>
      <c r="I16" s="209" t="s">
        <v>513</v>
      </c>
      <c r="J16" s="209" t="s">
        <v>482</v>
      </c>
      <c r="K16" s="209" t="s">
        <v>482</v>
      </c>
      <c r="L16" s="203"/>
    </row>
    <row r="17" s="202" customFormat="1" ht="30" customHeight="1">
      <c r="A17" s="203"/>
      <c r="B17" s="209" t="s">
        <v>101</v>
      </c>
      <c r="C17" s="209" t="s">
        <v>514</v>
      </c>
      <c r="D17" s="209" t="s">
        <v>514</v>
      </c>
      <c r="E17" s="209" t="s">
        <v>482</v>
      </c>
      <c r="F17" s="209" t="s">
        <v>482</v>
      </c>
      <c r="G17" s="209" t="s">
        <v>482</v>
      </c>
      <c r="H17" s="209" t="s">
        <v>515</v>
      </c>
      <c r="I17" s="209" t="s">
        <v>516</v>
      </c>
      <c r="J17" s="209" t="s">
        <v>517</v>
      </c>
      <c r="K17" s="209" t="s">
        <v>482</v>
      </c>
      <c r="L17" s="203"/>
    </row>
    <row r="18" s="202" customFormat="1" ht="30" customHeight="1">
      <c r="A18" s="203"/>
      <c r="B18" s="209" t="s">
        <v>102</v>
      </c>
      <c r="C18" s="209" t="s">
        <v>518</v>
      </c>
      <c r="D18" s="209" t="s">
        <v>518</v>
      </c>
      <c r="E18" s="209" t="s">
        <v>482</v>
      </c>
      <c r="F18" s="209" t="s">
        <v>482</v>
      </c>
      <c r="G18" s="209" t="s">
        <v>482</v>
      </c>
      <c r="H18" s="209" t="s">
        <v>519</v>
      </c>
      <c r="I18" s="209" t="s">
        <v>519</v>
      </c>
      <c r="J18" s="209" t="s">
        <v>482</v>
      </c>
      <c r="K18" s="209" t="s">
        <v>482</v>
      </c>
      <c r="L18" s="203"/>
    </row>
    <row r="19" s="202" customFormat="1" ht="30" customHeight="1">
      <c r="A19" s="203"/>
      <c r="B19" s="209" t="s">
        <v>103</v>
      </c>
      <c r="C19" s="209" t="s">
        <v>520</v>
      </c>
      <c r="D19" s="209" t="s">
        <v>521</v>
      </c>
      <c r="E19" s="209" t="s">
        <v>482</v>
      </c>
      <c r="F19" s="209" t="s">
        <v>522</v>
      </c>
      <c r="G19" s="209" t="s">
        <v>482</v>
      </c>
      <c r="H19" s="209" t="s">
        <v>523</v>
      </c>
      <c r="I19" s="209" t="s">
        <v>524</v>
      </c>
      <c r="J19" s="209" t="s">
        <v>525</v>
      </c>
      <c r="K19" s="209" t="s">
        <v>526</v>
      </c>
      <c r="L19" s="203"/>
    </row>
    <row r="20" s="202" customFormat="1" ht="30" customHeight="1">
      <c r="A20" s="203"/>
      <c r="B20" s="209" t="s">
        <v>104</v>
      </c>
      <c r="C20" s="209" t="s">
        <v>527</v>
      </c>
      <c r="D20" s="209" t="s">
        <v>528</v>
      </c>
      <c r="E20" s="209" t="s">
        <v>482</v>
      </c>
      <c r="F20" s="209" t="s">
        <v>529</v>
      </c>
      <c r="G20" s="209" t="s">
        <v>482</v>
      </c>
      <c r="H20" s="209" t="s">
        <v>530</v>
      </c>
      <c r="I20" s="209" t="s">
        <v>531</v>
      </c>
      <c r="J20" s="209" t="s">
        <v>532</v>
      </c>
      <c r="K20" s="209" t="s">
        <v>533</v>
      </c>
      <c r="L20" s="203"/>
    </row>
    <row r="21" s="202" customFormat="1" ht="30" customHeight="1">
      <c r="A21" s="203"/>
      <c r="B21" s="209" t="s">
        <v>105</v>
      </c>
      <c r="C21" s="209" t="s">
        <v>534</v>
      </c>
      <c r="D21" s="209" t="s">
        <v>534</v>
      </c>
      <c r="E21" s="209" t="s">
        <v>482</v>
      </c>
      <c r="F21" s="209" t="s">
        <v>482</v>
      </c>
      <c r="G21" s="209" t="s">
        <v>482</v>
      </c>
      <c r="H21" s="209" t="s">
        <v>535</v>
      </c>
      <c r="I21" s="209" t="s">
        <v>535</v>
      </c>
      <c r="J21" s="209" t="s">
        <v>482</v>
      </c>
      <c r="K21" s="209" t="s">
        <v>482</v>
      </c>
      <c r="L21" s="203"/>
    </row>
    <row r="22" s="202" customFormat="1" ht="30" customHeight="1">
      <c r="A22" s="203"/>
      <c r="B22" s="209" t="s">
        <v>106</v>
      </c>
      <c r="C22" s="209" t="s">
        <v>536</v>
      </c>
      <c r="D22" s="209" t="s">
        <v>536</v>
      </c>
      <c r="E22" s="209" t="s">
        <v>482</v>
      </c>
      <c r="F22" s="209" t="s">
        <v>482</v>
      </c>
      <c r="G22" s="209" t="s">
        <v>482</v>
      </c>
      <c r="H22" s="209" t="s">
        <v>537</v>
      </c>
      <c r="I22" s="209" t="s">
        <v>538</v>
      </c>
      <c r="J22" s="209" t="s">
        <v>539</v>
      </c>
      <c r="K22" s="209" t="s">
        <v>540</v>
      </c>
      <c r="L22" s="203"/>
    </row>
    <row r="23" s="202" customFormat="1" ht="30" customHeight="1">
      <c r="A23" s="203"/>
      <c r="B23" s="209" t="s">
        <v>107</v>
      </c>
      <c r="C23" s="209" t="s">
        <v>541</v>
      </c>
      <c r="D23" s="209" t="s">
        <v>542</v>
      </c>
      <c r="E23" s="209" t="s">
        <v>543</v>
      </c>
      <c r="F23" s="209" t="s">
        <v>482</v>
      </c>
      <c r="G23" s="209" t="s">
        <v>544</v>
      </c>
      <c r="H23" s="209" t="s">
        <v>545</v>
      </c>
      <c r="I23" s="209" t="s">
        <v>546</v>
      </c>
      <c r="J23" s="209" t="s">
        <v>547</v>
      </c>
      <c r="K23" s="209" t="s">
        <v>548</v>
      </c>
      <c r="L23" s="203"/>
    </row>
    <row r="24" s="202" customFormat="1" ht="30" customHeight="1">
      <c r="A24" s="203"/>
      <c r="B24" s="209" t="s">
        <v>108</v>
      </c>
      <c r="C24" s="209" t="s">
        <v>549</v>
      </c>
      <c r="D24" s="209" t="s">
        <v>549</v>
      </c>
      <c r="E24" s="209" t="s">
        <v>482</v>
      </c>
      <c r="F24" s="209" t="s">
        <v>482</v>
      </c>
      <c r="G24" s="209" t="s">
        <v>482</v>
      </c>
      <c r="H24" s="209" t="s">
        <v>550</v>
      </c>
      <c r="I24" s="209" t="s">
        <v>551</v>
      </c>
      <c r="J24" s="209" t="s">
        <v>482</v>
      </c>
      <c r="K24" s="209" t="s">
        <v>552</v>
      </c>
      <c r="L24" s="203"/>
    </row>
    <row r="25" s="202" customFormat="1" ht="30" customHeight="1">
      <c r="A25" s="203"/>
      <c r="B25" s="209" t="s">
        <v>109</v>
      </c>
      <c r="C25" s="209" t="s">
        <v>553</v>
      </c>
      <c r="D25" s="209" t="s">
        <v>554</v>
      </c>
      <c r="E25" s="209" t="s">
        <v>555</v>
      </c>
      <c r="F25" s="209" t="s">
        <v>482</v>
      </c>
      <c r="G25" s="209" t="s">
        <v>482</v>
      </c>
      <c r="H25" s="209" t="s">
        <v>556</v>
      </c>
      <c r="I25" s="209" t="s">
        <v>557</v>
      </c>
      <c r="J25" s="209" t="s">
        <v>558</v>
      </c>
      <c r="K25" s="209" t="s">
        <v>559</v>
      </c>
      <c r="L25" s="203"/>
    </row>
    <row r="26" s="202" customFormat="1" ht="30" customHeight="1">
      <c r="A26" s="203"/>
      <c r="B26" s="209" t="s">
        <v>112</v>
      </c>
      <c r="C26" s="209" t="s">
        <v>560</v>
      </c>
      <c r="D26" s="209" t="s">
        <v>560</v>
      </c>
      <c r="E26" s="209" t="s">
        <v>482</v>
      </c>
      <c r="F26" s="209" t="s">
        <v>482</v>
      </c>
      <c r="G26" s="209" t="s">
        <v>482</v>
      </c>
      <c r="H26" s="209" t="s">
        <v>561</v>
      </c>
      <c r="I26" s="209" t="s">
        <v>562</v>
      </c>
      <c r="J26" s="209" t="s">
        <v>563</v>
      </c>
      <c r="K26" s="209" t="s">
        <v>482</v>
      </c>
      <c r="L26" s="203"/>
    </row>
    <row r="27" s="202" customFormat="1" ht="30" customHeight="1">
      <c r="A27" s="203"/>
      <c r="B27" s="209" t="s">
        <v>113</v>
      </c>
      <c r="C27" s="209" t="s">
        <v>346</v>
      </c>
      <c r="D27" s="209" t="s">
        <v>346</v>
      </c>
      <c r="E27" s="209" t="s">
        <v>482</v>
      </c>
      <c r="F27" s="209" t="s">
        <v>482</v>
      </c>
      <c r="G27" s="209" t="s">
        <v>482</v>
      </c>
      <c r="H27" s="209" t="s">
        <v>564</v>
      </c>
      <c r="I27" s="209" t="s">
        <v>565</v>
      </c>
      <c r="J27" s="209" t="s">
        <v>566</v>
      </c>
      <c r="K27" s="209" t="s">
        <v>482</v>
      </c>
      <c r="L27" s="203"/>
    </row>
    <row r="28" s="202" customFormat="1" ht="30" customHeight="1">
      <c r="A28" s="203"/>
      <c r="B28" s="209" t="s">
        <v>114</v>
      </c>
      <c r="C28" s="209" t="s">
        <v>567</v>
      </c>
      <c r="D28" s="209" t="s">
        <v>568</v>
      </c>
      <c r="E28" s="209" t="s">
        <v>482</v>
      </c>
      <c r="F28" s="209" t="s">
        <v>482</v>
      </c>
      <c r="G28" s="209" t="s">
        <v>314</v>
      </c>
      <c r="H28" s="209" t="s">
        <v>569</v>
      </c>
      <c r="I28" s="209" t="s">
        <v>570</v>
      </c>
      <c r="J28" s="209" t="s">
        <v>571</v>
      </c>
      <c r="K28" s="209" t="s">
        <v>482</v>
      </c>
      <c r="L28" s="203"/>
    </row>
    <row r="29" s="202" customFormat="1" ht="30" customHeight="1">
      <c r="A29" s="203"/>
      <c r="B29" s="209" t="s">
        <v>115</v>
      </c>
      <c r="C29" s="209" t="s">
        <v>304</v>
      </c>
      <c r="D29" s="209" t="s">
        <v>482</v>
      </c>
      <c r="E29" s="209" t="s">
        <v>304</v>
      </c>
      <c r="F29" s="209" t="s">
        <v>482</v>
      </c>
      <c r="G29" s="209" t="s">
        <v>482</v>
      </c>
      <c r="H29" s="209" t="s">
        <v>572</v>
      </c>
      <c r="I29" s="209" t="s">
        <v>482</v>
      </c>
      <c r="J29" s="209" t="s">
        <v>572</v>
      </c>
      <c r="K29" s="209" t="s">
        <v>482</v>
      </c>
      <c r="L29" s="203"/>
    </row>
    <row r="30" s="202" customFormat="1" ht="30" customHeight="1">
      <c r="A30" s="203"/>
      <c r="B30" s="209" t="s">
        <v>116</v>
      </c>
      <c r="C30" s="209" t="s">
        <v>573</v>
      </c>
      <c r="D30" s="209" t="s">
        <v>573</v>
      </c>
      <c r="E30" s="209" t="s">
        <v>482</v>
      </c>
      <c r="F30" s="209" t="s">
        <v>482</v>
      </c>
      <c r="G30" s="209" t="s">
        <v>482</v>
      </c>
      <c r="H30" s="209" t="s">
        <v>574</v>
      </c>
      <c r="I30" s="209" t="s">
        <v>574</v>
      </c>
      <c r="J30" s="209" t="s">
        <v>482</v>
      </c>
      <c r="K30" s="209" t="s">
        <v>482</v>
      </c>
      <c r="L30" s="203"/>
    </row>
    <row r="31" s="202" customFormat="1" ht="30" customHeight="1">
      <c r="A31" s="203"/>
      <c r="B31" s="209" t="s">
        <v>117</v>
      </c>
      <c r="C31" s="209" t="s">
        <v>575</v>
      </c>
      <c r="D31" s="209" t="s">
        <v>575</v>
      </c>
      <c r="E31" s="209" t="s">
        <v>482</v>
      </c>
      <c r="F31" s="209" t="s">
        <v>482</v>
      </c>
      <c r="G31" s="209" t="s">
        <v>482</v>
      </c>
      <c r="H31" s="209" t="s">
        <v>576</v>
      </c>
      <c r="I31" s="209" t="s">
        <v>577</v>
      </c>
      <c r="J31" s="209" t="s">
        <v>578</v>
      </c>
      <c r="K31" s="209" t="s">
        <v>482</v>
      </c>
      <c r="L31" s="203"/>
    </row>
    <row r="32" s="202" customFormat="1" ht="30" customHeight="1">
      <c r="A32" s="203"/>
      <c r="B32" s="209" t="s">
        <v>579</v>
      </c>
      <c r="C32" s="209" t="s">
        <v>580</v>
      </c>
      <c r="D32" s="209" t="s">
        <v>580</v>
      </c>
      <c r="E32" s="209" t="s">
        <v>482</v>
      </c>
      <c r="F32" s="209" t="s">
        <v>482</v>
      </c>
      <c r="G32" s="209" t="s">
        <v>482</v>
      </c>
      <c r="H32" s="209" t="s">
        <v>581</v>
      </c>
      <c r="I32" s="209" t="s">
        <v>581</v>
      </c>
      <c r="J32" s="209" t="s">
        <v>482</v>
      </c>
      <c r="K32" s="209" t="s">
        <v>482</v>
      </c>
      <c r="L32" s="203"/>
    </row>
    <row r="33" s="202" customFormat="1" ht="30" customHeight="1">
      <c r="A33" s="203"/>
      <c r="B33" s="209" t="s">
        <v>582</v>
      </c>
      <c r="C33" s="209" t="s">
        <v>583</v>
      </c>
      <c r="D33" s="209" t="s">
        <v>583</v>
      </c>
      <c r="E33" s="209" t="s">
        <v>482</v>
      </c>
      <c r="F33" s="209" t="s">
        <v>482</v>
      </c>
      <c r="G33" s="209" t="s">
        <v>482</v>
      </c>
      <c r="H33" s="209" t="s">
        <v>584</v>
      </c>
      <c r="I33" s="209" t="s">
        <v>585</v>
      </c>
      <c r="J33" s="209" t="s">
        <v>586</v>
      </c>
      <c r="K33" s="209" t="s">
        <v>587</v>
      </c>
      <c r="L33" s="203"/>
    </row>
    <row r="34" s="202" customFormat="1" ht="30" customHeight="1">
      <c r="A34" s="203"/>
      <c r="B34" s="209" t="s">
        <v>588</v>
      </c>
      <c r="C34" s="209" t="s">
        <v>589</v>
      </c>
      <c r="D34" s="209" t="s">
        <v>589</v>
      </c>
      <c r="E34" s="209" t="s">
        <v>482</v>
      </c>
      <c r="F34" s="209" t="s">
        <v>482</v>
      </c>
      <c r="G34" s="209" t="s">
        <v>482</v>
      </c>
      <c r="H34" s="209" t="s">
        <v>590</v>
      </c>
      <c r="I34" s="209" t="s">
        <v>591</v>
      </c>
      <c r="J34" s="209" t="s">
        <v>592</v>
      </c>
      <c r="K34" s="209" t="s">
        <v>482</v>
      </c>
      <c r="L34" s="203"/>
    </row>
    <row r="35" s="202" customFormat="1" ht="30" customHeight="1">
      <c r="A35" s="203"/>
      <c r="B35" s="209" t="s">
        <v>192</v>
      </c>
      <c r="C35" s="209" t="s">
        <v>593</v>
      </c>
      <c r="D35" s="209" t="s">
        <v>594</v>
      </c>
      <c r="E35" s="209" t="s">
        <v>595</v>
      </c>
      <c r="F35" s="209" t="s">
        <v>482</v>
      </c>
      <c r="G35" s="209" t="s">
        <v>482</v>
      </c>
      <c r="H35" s="209" t="s">
        <v>596</v>
      </c>
      <c r="I35" s="209" t="s">
        <v>597</v>
      </c>
      <c r="J35" s="209" t="s">
        <v>598</v>
      </c>
      <c r="K35" s="209" t="s">
        <v>599</v>
      </c>
      <c r="L35" s="203"/>
    </row>
    <row r="36" s="202" customFormat="1" ht="30" customHeight="1">
      <c r="A36" s="203"/>
      <c r="B36" s="209" t="s">
        <v>193</v>
      </c>
      <c r="C36" s="209" t="s">
        <v>600</v>
      </c>
      <c r="D36" s="209" t="s">
        <v>600</v>
      </c>
      <c r="E36" s="209" t="s">
        <v>482</v>
      </c>
      <c r="F36" s="209" t="s">
        <v>482</v>
      </c>
      <c r="G36" s="209" t="s">
        <v>482</v>
      </c>
      <c r="H36" s="209" t="s">
        <v>601</v>
      </c>
      <c r="I36" s="209" t="s">
        <v>601</v>
      </c>
      <c r="J36" s="209" t="s">
        <v>482</v>
      </c>
      <c r="K36" s="209" t="s">
        <v>482</v>
      </c>
      <c r="L36" s="203"/>
    </row>
    <row r="37" s="202" customFormat="1" ht="30" customHeight="1">
      <c r="A37" s="203"/>
      <c r="B37" s="209" t="s">
        <v>602</v>
      </c>
      <c r="C37" s="209" t="s">
        <v>603</v>
      </c>
      <c r="D37" s="209" t="s">
        <v>604</v>
      </c>
      <c r="E37" s="209" t="s">
        <v>337</v>
      </c>
      <c r="F37" s="209" t="s">
        <v>482</v>
      </c>
      <c r="G37" s="209" t="s">
        <v>482</v>
      </c>
      <c r="H37" s="209" t="s">
        <v>605</v>
      </c>
      <c r="I37" s="209" t="s">
        <v>606</v>
      </c>
      <c r="J37" s="209" t="s">
        <v>607</v>
      </c>
      <c r="K37" s="209" t="s">
        <v>482</v>
      </c>
      <c r="L37" s="203"/>
    </row>
    <row r="38" s="202" customFormat="1" ht="30" customHeight="1">
      <c r="A38" s="203"/>
      <c r="B38" s="209" t="s">
        <v>195</v>
      </c>
      <c r="C38" s="209" t="s">
        <v>608</v>
      </c>
      <c r="D38" s="209" t="s">
        <v>609</v>
      </c>
      <c r="E38" s="209" t="s">
        <v>482</v>
      </c>
      <c r="F38" s="209" t="s">
        <v>610</v>
      </c>
      <c r="G38" s="209" t="s">
        <v>482</v>
      </c>
      <c r="H38" s="209" t="s">
        <v>611</v>
      </c>
      <c r="I38" s="209" t="s">
        <v>612</v>
      </c>
      <c r="J38" s="209" t="s">
        <v>613</v>
      </c>
      <c r="K38" s="209" t="s">
        <v>614</v>
      </c>
      <c r="L38" s="203"/>
    </row>
    <row r="39" s="202" customFormat="1" ht="30" customHeight="1">
      <c r="A39" s="203"/>
      <c r="B39" s="209" t="s">
        <v>196</v>
      </c>
      <c r="C39" s="209" t="s">
        <v>615</v>
      </c>
      <c r="D39" s="209" t="s">
        <v>615</v>
      </c>
      <c r="E39" s="209" t="s">
        <v>482</v>
      </c>
      <c r="F39" s="209" t="s">
        <v>482</v>
      </c>
      <c r="G39" s="209" t="s">
        <v>482</v>
      </c>
      <c r="H39" s="209" t="s">
        <v>616</v>
      </c>
      <c r="I39" s="209" t="s">
        <v>617</v>
      </c>
      <c r="J39" s="209" t="s">
        <v>618</v>
      </c>
      <c r="K39" s="209" t="s">
        <v>482</v>
      </c>
      <c r="L39" s="203"/>
    </row>
    <row r="40" s="202" customFormat="1" ht="30" customHeight="1">
      <c r="A40" s="203"/>
      <c r="B40" s="209" t="s">
        <v>84</v>
      </c>
      <c r="C40" s="209" t="s">
        <v>619</v>
      </c>
      <c r="D40" s="209" t="s">
        <v>620</v>
      </c>
      <c r="E40" s="209" t="s">
        <v>482</v>
      </c>
      <c r="F40" s="209" t="s">
        <v>482</v>
      </c>
      <c r="G40" s="209" t="s">
        <v>621</v>
      </c>
      <c r="H40" s="209" t="s">
        <v>622</v>
      </c>
      <c r="I40" s="209" t="s">
        <v>623</v>
      </c>
      <c r="J40" s="209" t="s">
        <v>482</v>
      </c>
      <c r="K40" s="209" t="s">
        <v>482</v>
      </c>
      <c r="L40" s="203"/>
    </row>
    <row r="41" s="202" customFormat="1" ht="30" customHeight="1">
      <c r="A41" s="203"/>
      <c r="B41" s="209" t="s">
        <v>85</v>
      </c>
      <c r="C41" s="209" t="s">
        <v>624</v>
      </c>
      <c r="D41" s="209" t="s">
        <v>625</v>
      </c>
      <c r="E41" s="209" t="s">
        <v>482</v>
      </c>
      <c r="F41" s="209" t="s">
        <v>626</v>
      </c>
      <c r="G41" s="209" t="s">
        <v>482</v>
      </c>
      <c r="H41" s="209" t="s">
        <v>627</v>
      </c>
      <c r="I41" s="209" t="s">
        <v>628</v>
      </c>
      <c r="J41" s="209" t="s">
        <v>326</v>
      </c>
      <c r="K41" s="209" t="s">
        <v>629</v>
      </c>
      <c r="L41" s="203"/>
    </row>
    <row r="42" s="202" customFormat="1" ht="30" customHeight="1">
      <c r="A42" s="203"/>
      <c r="B42" s="209" t="s">
        <v>86</v>
      </c>
      <c r="C42" s="209" t="s">
        <v>630</v>
      </c>
      <c r="D42" s="209" t="s">
        <v>631</v>
      </c>
      <c r="E42" s="209" t="s">
        <v>482</v>
      </c>
      <c r="F42" s="209" t="s">
        <v>632</v>
      </c>
      <c r="G42" s="209" t="s">
        <v>482</v>
      </c>
      <c r="H42" s="209" t="s">
        <v>633</v>
      </c>
      <c r="I42" s="209" t="s">
        <v>634</v>
      </c>
      <c r="J42" s="209" t="s">
        <v>482</v>
      </c>
      <c r="K42" s="209" t="s">
        <v>635</v>
      </c>
      <c r="L42" s="203"/>
    </row>
    <row r="43" s="202" customFormat="1" ht="30" customHeight="1">
      <c r="A43" s="203"/>
      <c r="B43" s="209" t="s">
        <v>87</v>
      </c>
      <c r="C43" s="209" t="s">
        <v>636</v>
      </c>
      <c r="D43" s="209" t="s">
        <v>637</v>
      </c>
      <c r="E43" s="209" t="s">
        <v>482</v>
      </c>
      <c r="F43" s="209" t="s">
        <v>638</v>
      </c>
      <c r="G43" s="209" t="s">
        <v>482</v>
      </c>
      <c r="H43" s="209" t="s">
        <v>639</v>
      </c>
      <c r="I43" s="209" t="s">
        <v>640</v>
      </c>
      <c r="J43" s="209" t="s">
        <v>482</v>
      </c>
      <c r="K43" s="209" t="s">
        <v>641</v>
      </c>
      <c r="L43" s="203"/>
    </row>
    <row r="44" s="202" customFormat="1" ht="30" customHeight="1">
      <c r="A44" s="203"/>
      <c r="B44" s="209" t="s">
        <v>88</v>
      </c>
      <c r="C44" s="209" t="s">
        <v>642</v>
      </c>
      <c r="D44" s="209" t="s">
        <v>643</v>
      </c>
      <c r="E44" s="209" t="s">
        <v>482</v>
      </c>
      <c r="F44" s="209" t="s">
        <v>644</v>
      </c>
      <c r="G44" s="209" t="s">
        <v>482</v>
      </c>
      <c r="H44" s="209" t="s">
        <v>645</v>
      </c>
      <c r="I44" s="209" t="s">
        <v>646</v>
      </c>
      <c r="J44" s="209" t="s">
        <v>482</v>
      </c>
      <c r="K44" s="209" t="s">
        <v>647</v>
      </c>
      <c r="L44" s="203"/>
    </row>
    <row r="45" s="202" customFormat="1" ht="30" customHeight="1">
      <c r="A45" s="203"/>
      <c r="B45" s="209" t="s">
        <v>89</v>
      </c>
      <c r="C45" s="209" t="s">
        <v>648</v>
      </c>
      <c r="D45" s="209" t="s">
        <v>649</v>
      </c>
      <c r="E45" s="209" t="s">
        <v>482</v>
      </c>
      <c r="F45" s="209" t="s">
        <v>650</v>
      </c>
      <c r="G45" s="209" t="s">
        <v>482</v>
      </c>
      <c r="H45" s="209" t="s">
        <v>651</v>
      </c>
      <c r="I45" s="209" t="s">
        <v>652</v>
      </c>
      <c r="J45" s="209" t="s">
        <v>653</v>
      </c>
      <c r="K45" s="209" t="s">
        <v>654</v>
      </c>
      <c r="L45" s="203"/>
    </row>
    <row r="46" s="202" customFormat="1" ht="30" customHeight="1">
      <c r="A46" s="203"/>
      <c r="B46" s="209" t="s">
        <v>92</v>
      </c>
      <c r="C46" s="209" t="s">
        <v>655</v>
      </c>
      <c r="D46" s="209" t="s">
        <v>655</v>
      </c>
      <c r="E46" s="209" t="s">
        <v>482</v>
      </c>
      <c r="F46" s="209" t="s">
        <v>482</v>
      </c>
      <c r="G46" s="209" t="s">
        <v>482</v>
      </c>
      <c r="H46" s="209" t="s">
        <v>656</v>
      </c>
      <c r="I46" s="209" t="s">
        <v>657</v>
      </c>
      <c r="J46" s="209" t="s">
        <v>482</v>
      </c>
      <c r="K46" s="209" t="s">
        <v>658</v>
      </c>
      <c r="L46" s="203"/>
    </row>
    <row r="47" s="202" customFormat="1" ht="30" customHeight="1">
      <c r="A47" s="203"/>
      <c r="B47" s="209" t="s">
        <v>95</v>
      </c>
      <c r="C47" s="209" t="s">
        <v>659</v>
      </c>
      <c r="D47" s="209" t="s">
        <v>660</v>
      </c>
      <c r="E47" s="209" t="s">
        <v>482</v>
      </c>
      <c r="F47" s="209" t="s">
        <v>661</v>
      </c>
      <c r="G47" s="209" t="s">
        <v>482</v>
      </c>
      <c r="H47" s="209" t="s">
        <v>662</v>
      </c>
      <c r="I47" s="209" t="s">
        <v>663</v>
      </c>
      <c r="J47" s="209" t="s">
        <v>482</v>
      </c>
      <c r="K47" s="209" t="s">
        <v>664</v>
      </c>
      <c r="L47" s="203"/>
    </row>
    <row r="48" s="202" customFormat="1" ht="30" customHeight="1">
      <c r="A48" s="203"/>
      <c r="B48" s="209" t="s">
        <v>96</v>
      </c>
      <c r="C48" s="209" t="s">
        <v>665</v>
      </c>
      <c r="D48" s="209" t="s">
        <v>666</v>
      </c>
      <c r="E48" s="209" t="s">
        <v>482</v>
      </c>
      <c r="F48" s="209" t="s">
        <v>667</v>
      </c>
      <c r="G48" s="209" t="s">
        <v>482</v>
      </c>
      <c r="H48" s="209" t="s">
        <v>668</v>
      </c>
      <c r="I48" s="209" t="s">
        <v>669</v>
      </c>
      <c r="J48" s="209" t="s">
        <v>670</v>
      </c>
      <c r="K48" s="209" t="s">
        <v>671</v>
      </c>
      <c r="L48" s="203"/>
    </row>
    <row r="49" s="202" customFormat="1" ht="30" customHeight="1">
      <c r="A49" s="203"/>
      <c r="B49" s="209" t="s">
        <v>97</v>
      </c>
      <c r="C49" s="209" t="s">
        <v>672</v>
      </c>
      <c r="D49" s="209" t="s">
        <v>673</v>
      </c>
      <c r="E49" s="209" t="s">
        <v>482</v>
      </c>
      <c r="F49" s="209" t="s">
        <v>674</v>
      </c>
      <c r="G49" s="209" t="s">
        <v>482</v>
      </c>
      <c r="H49" s="209" t="s">
        <v>675</v>
      </c>
      <c r="I49" s="209" t="s">
        <v>676</v>
      </c>
      <c r="J49" s="209" t="s">
        <v>482</v>
      </c>
      <c r="K49" s="209" t="s">
        <v>677</v>
      </c>
      <c r="L49" s="203"/>
    </row>
    <row r="50" s="202" customFormat="1" ht="30" customHeight="1">
      <c r="A50" s="203"/>
      <c r="B50" s="209" t="s">
        <v>98</v>
      </c>
      <c r="C50" s="209" t="s">
        <v>678</v>
      </c>
      <c r="D50" s="209" t="s">
        <v>678</v>
      </c>
      <c r="E50" s="209" t="s">
        <v>482</v>
      </c>
      <c r="F50" s="209" t="s">
        <v>482</v>
      </c>
      <c r="G50" s="209" t="s">
        <v>482</v>
      </c>
      <c r="H50" s="209" t="s">
        <v>679</v>
      </c>
      <c r="I50" s="209" t="s">
        <v>679</v>
      </c>
      <c r="J50" s="209" t="s">
        <v>482</v>
      </c>
      <c r="K50" s="209" t="s">
        <v>482</v>
      </c>
      <c r="L50" s="203"/>
    </row>
    <row r="51" s="202" customFormat="1" ht="30" customHeight="1">
      <c r="A51" s="203"/>
      <c r="B51" s="209" t="s">
        <v>206</v>
      </c>
      <c r="C51" s="209" t="s">
        <v>680</v>
      </c>
      <c r="D51" s="209" t="s">
        <v>680</v>
      </c>
      <c r="E51" s="209" t="s">
        <v>482</v>
      </c>
      <c r="F51" s="209" t="s">
        <v>482</v>
      </c>
      <c r="G51" s="209" t="s">
        <v>482</v>
      </c>
      <c r="H51" s="209" t="s">
        <v>681</v>
      </c>
      <c r="I51" s="209" t="s">
        <v>681</v>
      </c>
      <c r="J51" s="209" t="s">
        <v>482</v>
      </c>
      <c r="K51" s="209" t="s">
        <v>482</v>
      </c>
      <c r="L51" s="203"/>
    </row>
    <row r="52" s="202" customFormat="1" ht="30" customHeight="1">
      <c r="A52" s="203"/>
      <c r="B52" s="209" t="s">
        <v>682</v>
      </c>
      <c r="C52" s="209" t="s">
        <v>683</v>
      </c>
      <c r="D52" s="209" t="s">
        <v>684</v>
      </c>
      <c r="E52" s="209" t="s">
        <v>482</v>
      </c>
      <c r="F52" s="209" t="s">
        <v>482</v>
      </c>
      <c r="G52" s="209" t="s">
        <v>685</v>
      </c>
      <c r="H52" s="209" t="s">
        <v>686</v>
      </c>
      <c r="I52" s="209" t="s">
        <v>687</v>
      </c>
      <c r="J52" s="209" t="s">
        <v>688</v>
      </c>
      <c r="K52" s="209" t="s">
        <v>482</v>
      </c>
      <c r="L52" s="203"/>
    </row>
    <row r="53" s="202" customFormat="1" ht="30" customHeight="1">
      <c r="A53" s="203"/>
      <c r="B53" s="209" t="s">
        <v>208</v>
      </c>
      <c r="C53" s="209" t="s">
        <v>689</v>
      </c>
      <c r="D53" s="209" t="s">
        <v>689</v>
      </c>
      <c r="E53" s="209" t="s">
        <v>482</v>
      </c>
      <c r="F53" s="209" t="s">
        <v>482</v>
      </c>
      <c r="G53" s="209" t="s">
        <v>482</v>
      </c>
      <c r="H53" s="209" t="s">
        <v>690</v>
      </c>
      <c r="I53" s="209" t="s">
        <v>691</v>
      </c>
      <c r="J53" s="209" t="s">
        <v>692</v>
      </c>
      <c r="K53" s="209" t="s">
        <v>693</v>
      </c>
      <c r="L53" s="203"/>
    </row>
    <row r="54" s="202" customFormat="1" ht="30" customHeight="1">
      <c r="A54" s="203"/>
      <c r="B54" s="209" t="s">
        <v>209</v>
      </c>
      <c r="C54" s="209" t="s">
        <v>694</v>
      </c>
      <c r="D54" s="209" t="s">
        <v>694</v>
      </c>
      <c r="E54" s="209" t="s">
        <v>482</v>
      </c>
      <c r="F54" s="209" t="s">
        <v>482</v>
      </c>
      <c r="G54" s="209" t="s">
        <v>482</v>
      </c>
      <c r="H54" s="209" t="s">
        <v>695</v>
      </c>
      <c r="I54" s="209" t="s">
        <v>696</v>
      </c>
      <c r="J54" s="209" t="s">
        <v>697</v>
      </c>
      <c r="K54" s="209" t="s">
        <v>698</v>
      </c>
      <c r="L54" s="203"/>
    </row>
    <row r="55" s="202" customFormat="1" ht="30" customHeight="1">
      <c r="A55" s="203"/>
      <c r="B55" s="209" t="s">
        <v>699</v>
      </c>
      <c r="C55" s="209" t="s">
        <v>700</v>
      </c>
      <c r="D55" s="209" t="s">
        <v>701</v>
      </c>
      <c r="E55" s="209" t="s">
        <v>482</v>
      </c>
      <c r="F55" s="209" t="s">
        <v>702</v>
      </c>
      <c r="G55" s="209" t="s">
        <v>482</v>
      </c>
      <c r="H55" s="209" t="s">
        <v>703</v>
      </c>
      <c r="I55" s="209" t="s">
        <v>704</v>
      </c>
      <c r="J55" s="209" t="s">
        <v>705</v>
      </c>
      <c r="K55" s="209" t="s">
        <v>706</v>
      </c>
      <c r="L55" s="203"/>
    </row>
    <row r="56" s="202" customFormat="1" ht="30" customHeight="1">
      <c r="A56" s="203"/>
      <c r="B56" s="209" t="s">
        <v>149</v>
      </c>
      <c r="C56" s="209" t="s">
        <v>707</v>
      </c>
      <c r="D56" s="209" t="s">
        <v>707</v>
      </c>
      <c r="E56" s="209" t="s">
        <v>482</v>
      </c>
      <c r="F56" s="209" t="s">
        <v>482</v>
      </c>
      <c r="G56" s="209" t="s">
        <v>482</v>
      </c>
      <c r="H56" s="209" t="s">
        <v>708</v>
      </c>
      <c r="I56" s="209" t="s">
        <v>708</v>
      </c>
      <c r="J56" s="209" t="s">
        <v>482</v>
      </c>
      <c r="K56" s="209" t="s">
        <v>482</v>
      </c>
      <c r="L56" s="203"/>
    </row>
    <row r="57" s="202" customFormat="1" ht="30" customHeight="1">
      <c r="A57" s="203"/>
      <c r="B57" s="209" t="s">
        <v>709</v>
      </c>
      <c r="C57" s="209" t="s">
        <v>710</v>
      </c>
      <c r="D57" s="209" t="s">
        <v>710</v>
      </c>
      <c r="E57" s="209" t="s">
        <v>482</v>
      </c>
      <c r="F57" s="209" t="s">
        <v>482</v>
      </c>
      <c r="G57" s="209" t="s">
        <v>482</v>
      </c>
      <c r="H57" s="209" t="s">
        <v>711</v>
      </c>
      <c r="I57" s="209" t="s">
        <v>712</v>
      </c>
      <c r="J57" s="209" t="s">
        <v>713</v>
      </c>
      <c r="K57" s="209" t="s">
        <v>482</v>
      </c>
      <c r="L57" s="203"/>
    </row>
    <row r="58" s="202" customFormat="1" ht="30" customHeight="1">
      <c r="A58" s="203"/>
      <c r="B58" s="209" t="s">
        <v>714</v>
      </c>
      <c r="C58" s="209" t="s">
        <v>715</v>
      </c>
      <c r="D58" s="209" t="s">
        <v>715</v>
      </c>
      <c r="E58" s="209" t="s">
        <v>482</v>
      </c>
      <c r="F58" s="209" t="s">
        <v>482</v>
      </c>
      <c r="G58" s="209" t="s">
        <v>482</v>
      </c>
      <c r="H58" s="209" t="s">
        <v>716</v>
      </c>
      <c r="I58" s="209" t="s">
        <v>717</v>
      </c>
      <c r="J58" s="209" t="s">
        <v>482</v>
      </c>
      <c r="K58" s="209" t="s">
        <v>718</v>
      </c>
      <c r="L58" s="203"/>
    </row>
    <row r="59" s="202" customFormat="1" ht="30" customHeight="1">
      <c r="A59" s="203"/>
      <c r="B59" s="209" t="s">
        <v>719</v>
      </c>
      <c r="C59" s="209" t="s">
        <v>720</v>
      </c>
      <c r="D59" s="209" t="s">
        <v>720</v>
      </c>
      <c r="E59" s="209" t="s">
        <v>482</v>
      </c>
      <c r="F59" s="209" t="s">
        <v>482</v>
      </c>
      <c r="G59" s="209" t="s">
        <v>482</v>
      </c>
      <c r="H59" s="209" t="s">
        <v>721</v>
      </c>
      <c r="I59" s="209" t="s">
        <v>721</v>
      </c>
      <c r="J59" s="209" t="s">
        <v>482</v>
      </c>
      <c r="K59" s="209" t="s">
        <v>482</v>
      </c>
      <c r="L59" s="203"/>
    </row>
    <row r="60" s="202" customFormat="1" ht="30" customHeight="1">
      <c r="A60" s="203"/>
      <c r="B60" s="209" t="s">
        <v>722</v>
      </c>
      <c r="C60" s="209" t="s">
        <v>723</v>
      </c>
      <c r="D60" s="209" t="s">
        <v>724</v>
      </c>
      <c r="E60" s="209" t="s">
        <v>482</v>
      </c>
      <c r="F60" s="209" t="s">
        <v>725</v>
      </c>
      <c r="G60" s="209" t="s">
        <v>482</v>
      </c>
      <c r="H60" s="209" t="s">
        <v>726</v>
      </c>
      <c r="I60" s="209" t="s">
        <v>727</v>
      </c>
      <c r="J60" s="209" t="s">
        <v>728</v>
      </c>
      <c r="K60" s="209" t="s">
        <v>729</v>
      </c>
      <c r="L60" s="203"/>
    </row>
    <row r="61" s="202" customFormat="1" ht="30" customHeight="1">
      <c r="A61" s="203"/>
      <c r="B61" s="209" t="s">
        <v>730</v>
      </c>
      <c r="C61" s="209" t="s">
        <v>731</v>
      </c>
      <c r="D61" s="209" t="s">
        <v>731</v>
      </c>
      <c r="E61" s="209" t="s">
        <v>482</v>
      </c>
      <c r="F61" s="209" t="s">
        <v>482</v>
      </c>
      <c r="G61" s="209" t="s">
        <v>482</v>
      </c>
      <c r="H61" s="209" t="s">
        <v>732</v>
      </c>
      <c r="I61" s="209" t="s">
        <v>732</v>
      </c>
      <c r="J61" s="209" t="s">
        <v>482</v>
      </c>
      <c r="K61" s="209" t="s">
        <v>482</v>
      </c>
      <c r="L61" s="203"/>
    </row>
    <row r="62" s="202" customFormat="1" ht="30" customHeight="1">
      <c r="A62" s="203"/>
      <c r="B62" s="209" t="s">
        <v>733</v>
      </c>
      <c r="C62" s="209" t="s">
        <v>734</v>
      </c>
      <c r="D62" s="209" t="s">
        <v>735</v>
      </c>
      <c r="E62" s="209" t="s">
        <v>482</v>
      </c>
      <c r="F62" s="209" t="s">
        <v>736</v>
      </c>
      <c r="G62" s="209" t="s">
        <v>482</v>
      </c>
      <c r="H62" s="209" t="s">
        <v>737</v>
      </c>
      <c r="I62" s="209" t="s">
        <v>738</v>
      </c>
      <c r="J62" s="209" t="s">
        <v>739</v>
      </c>
      <c r="K62" s="209" t="s">
        <v>740</v>
      </c>
      <c r="L62" s="203"/>
    </row>
    <row r="63" s="202" customFormat="1" ht="30" customHeight="1">
      <c r="A63" s="203"/>
      <c r="B63" s="209" t="s">
        <v>741</v>
      </c>
      <c r="C63" s="209" t="s">
        <v>742</v>
      </c>
      <c r="D63" s="209" t="s">
        <v>742</v>
      </c>
      <c r="E63" s="209" t="s">
        <v>482</v>
      </c>
      <c r="F63" s="209" t="s">
        <v>482</v>
      </c>
      <c r="G63" s="209" t="s">
        <v>482</v>
      </c>
      <c r="H63" s="209" t="s">
        <v>743</v>
      </c>
      <c r="I63" s="209" t="s">
        <v>743</v>
      </c>
      <c r="J63" s="209" t="s">
        <v>482</v>
      </c>
      <c r="K63" s="209" t="s">
        <v>482</v>
      </c>
      <c r="L63" s="203"/>
    </row>
    <row r="64" s="202" customFormat="1" ht="30" customHeight="1">
      <c r="A64" s="203"/>
      <c r="B64" s="209" t="s">
        <v>744</v>
      </c>
      <c r="C64" s="209" t="s">
        <v>745</v>
      </c>
      <c r="D64" s="209" t="s">
        <v>746</v>
      </c>
      <c r="E64" s="209" t="s">
        <v>482</v>
      </c>
      <c r="F64" s="209" t="s">
        <v>281</v>
      </c>
      <c r="G64" s="209" t="s">
        <v>482</v>
      </c>
      <c r="H64" s="209" t="s">
        <v>747</v>
      </c>
      <c r="I64" s="209" t="s">
        <v>748</v>
      </c>
      <c r="J64" s="209" t="s">
        <v>749</v>
      </c>
      <c r="K64" s="209" t="s">
        <v>750</v>
      </c>
      <c r="L64" s="203"/>
    </row>
    <row r="65" s="202" customFormat="1" ht="30" customHeight="1">
      <c r="A65" s="203"/>
      <c r="B65" s="209" t="s">
        <v>751</v>
      </c>
      <c r="C65" s="209" t="s">
        <v>752</v>
      </c>
      <c r="D65" s="209" t="s">
        <v>752</v>
      </c>
      <c r="E65" s="209" t="s">
        <v>482</v>
      </c>
      <c r="F65" s="209" t="s">
        <v>482</v>
      </c>
      <c r="G65" s="209" t="s">
        <v>482</v>
      </c>
      <c r="H65" s="209" t="s">
        <v>753</v>
      </c>
      <c r="I65" s="209" t="s">
        <v>754</v>
      </c>
      <c r="J65" s="209" t="s">
        <v>755</v>
      </c>
      <c r="K65" s="209" t="s">
        <v>482</v>
      </c>
      <c r="L65" s="203"/>
    </row>
    <row r="66" s="202" customFormat="1" ht="30" customHeight="1">
      <c r="A66" s="203"/>
      <c r="B66" s="209" t="s">
        <v>224</v>
      </c>
      <c r="C66" s="209" t="s">
        <v>756</v>
      </c>
      <c r="D66" s="209" t="s">
        <v>756</v>
      </c>
      <c r="E66" s="209" t="s">
        <v>482</v>
      </c>
      <c r="F66" s="209" t="s">
        <v>482</v>
      </c>
      <c r="G66" s="209" t="s">
        <v>482</v>
      </c>
      <c r="H66" s="209" t="s">
        <v>757</v>
      </c>
      <c r="I66" s="209" t="s">
        <v>758</v>
      </c>
      <c r="J66" s="209" t="s">
        <v>759</v>
      </c>
      <c r="K66" s="209" t="s">
        <v>760</v>
      </c>
      <c r="L66" s="203"/>
    </row>
    <row r="67" s="202" customFormat="1" ht="30" customHeight="1">
      <c r="A67" s="203"/>
      <c r="B67" s="209" t="s">
        <v>225</v>
      </c>
      <c r="C67" s="209" t="s">
        <v>761</v>
      </c>
      <c r="D67" s="209" t="s">
        <v>761</v>
      </c>
      <c r="E67" s="209" t="s">
        <v>482</v>
      </c>
      <c r="F67" s="209" t="s">
        <v>482</v>
      </c>
      <c r="G67" s="209" t="s">
        <v>482</v>
      </c>
      <c r="H67" s="209" t="s">
        <v>762</v>
      </c>
      <c r="I67" s="209" t="s">
        <v>763</v>
      </c>
      <c r="J67" s="209" t="s">
        <v>482</v>
      </c>
      <c r="K67" s="209" t="s">
        <v>764</v>
      </c>
      <c r="L67" s="203"/>
    </row>
    <row r="68" s="202" customFormat="1" ht="30" customHeight="1">
      <c r="A68" s="203"/>
      <c r="B68" s="209" t="s">
        <v>226</v>
      </c>
      <c r="C68" s="209" t="s">
        <v>765</v>
      </c>
      <c r="D68" s="209" t="s">
        <v>765</v>
      </c>
      <c r="E68" s="209" t="s">
        <v>482</v>
      </c>
      <c r="F68" s="209" t="s">
        <v>482</v>
      </c>
      <c r="G68" s="209" t="s">
        <v>482</v>
      </c>
      <c r="H68" s="209" t="s">
        <v>766</v>
      </c>
      <c r="I68" s="209" t="s">
        <v>767</v>
      </c>
      <c r="J68" s="209" t="s">
        <v>482</v>
      </c>
      <c r="K68" s="209" t="s">
        <v>768</v>
      </c>
      <c r="L68" s="203"/>
    </row>
    <row r="69" s="202" customFormat="1" ht="30" customHeight="1">
      <c r="A69" s="203"/>
      <c r="B69" s="209" t="s">
        <v>227</v>
      </c>
      <c r="C69" s="209" t="s">
        <v>769</v>
      </c>
      <c r="D69" s="209" t="s">
        <v>770</v>
      </c>
      <c r="E69" s="209" t="s">
        <v>482</v>
      </c>
      <c r="F69" s="209" t="s">
        <v>358</v>
      </c>
      <c r="G69" s="209" t="s">
        <v>482</v>
      </c>
      <c r="H69" s="209" t="s">
        <v>771</v>
      </c>
      <c r="I69" s="209" t="s">
        <v>772</v>
      </c>
      <c r="J69" s="209" t="s">
        <v>482</v>
      </c>
      <c r="K69" s="209" t="s">
        <v>773</v>
      </c>
      <c r="L69" s="203"/>
    </row>
    <row r="70" s="202" customFormat="1" ht="30" customHeight="1">
      <c r="A70" s="203"/>
      <c r="B70" s="209" t="s">
        <v>228</v>
      </c>
      <c r="C70" s="209" t="s">
        <v>774</v>
      </c>
      <c r="D70" s="209" t="s">
        <v>774</v>
      </c>
      <c r="E70" s="209" t="s">
        <v>482</v>
      </c>
      <c r="F70" s="209" t="s">
        <v>482</v>
      </c>
      <c r="G70" s="209" t="s">
        <v>482</v>
      </c>
      <c r="H70" s="209" t="s">
        <v>775</v>
      </c>
      <c r="I70" s="209" t="s">
        <v>776</v>
      </c>
      <c r="J70" s="209" t="s">
        <v>482</v>
      </c>
      <c r="K70" s="209" t="s">
        <v>270</v>
      </c>
      <c r="L70" s="203"/>
    </row>
    <row r="71" s="202" customFormat="1" ht="30" customHeight="1">
      <c r="A71" s="203"/>
      <c r="B71" s="209" t="s">
        <v>777</v>
      </c>
      <c r="C71" s="209" t="s">
        <v>778</v>
      </c>
      <c r="D71" s="209" t="s">
        <v>778</v>
      </c>
      <c r="E71" s="209" t="s">
        <v>482</v>
      </c>
      <c r="F71" s="209" t="s">
        <v>482</v>
      </c>
      <c r="G71" s="209" t="s">
        <v>482</v>
      </c>
      <c r="H71" s="209" t="s">
        <v>779</v>
      </c>
      <c r="I71" s="209" t="s">
        <v>780</v>
      </c>
      <c r="J71" s="209" t="s">
        <v>482</v>
      </c>
      <c r="K71" s="209" t="s">
        <v>781</v>
      </c>
      <c r="L71" s="203"/>
    </row>
    <row r="72" s="202" customFormat="1" ht="30" customHeight="1">
      <c r="A72" s="203"/>
      <c r="B72" s="209" t="s">
        <v>782</v>
      </c>
      <c r="C72" s="209" t="s">
        <v>783</v>
      </c>
      <c r="D72" s="209" t="s">
        <v>783</v>
      </c>
      <c r="E72" s="209" t="s">
        <v>482</v>
      </c>
      <c r="F72" s="209" t="s">
        <v>482</v>
      </c>
      <c r="G72" s="209" t="s">
        <v>482</v>
      </c>
      <c r="H72" s="209" t="s">
        <v>784</v>
      </c>
      <c r="I72" s="209" t="s">
        <v>785</v>
      </c>
      <c r="J72" s="209" t="s">
        <v>482</v>
      </c>
      <c r="K72" s="209" t="s">
        <v>786</v>
      </c>
      <c r="L72" s="203"/>
    </row>
    <row r="73" s="202" customFormat="1" ht="30" customHeight="1">
      <c r="A73" s="203"/>
      <c r="B73" s="209" t="s">
        <v>787</v>
      </c>
      <c r="C73" s="209" t="s">
        <v>788</v>
      </c>
      <c r="D73" s="209" t="s">
        <v>788</v>
      </c>
      <c r="E73" s="209" t="s">
        <v>482</v>
      </c>
      <c r="F73" s="209" t="s">
        <v>482</v>
      </c>
      <c r="G73" s="209" t="s">
        <v>482</v>
      </c>
      <c r="H73" s="209" t="s">
        <v>789</v>
      </c>
      <c r="I73" s="209" t="s">
        <v>790</v>
      </c>
      <c r="J73" s="209" t="s">
        <v>482</v>
      </c>
      <c r="K73" s="209" t="s">
        <v>791</v>
      </c>
      <c r="L73" s="203"/>
    </row>
    <row r="74" s="202" customFormat="1" ht="30" customHeight="1">
      <c r="A74" s="203"/>
      <c r="B74" s="209" t="s">
        <v>166</v>
      </c>
      <c r="C74" s="209" t="s">
        <v>792</v>
      </c>
      <c r="D74" s="209" t="s">
        <v>792</v>
      </c>
      <c r="E74" s="209" t="s">
        <v>482</v>
      </c>
      <c r="F74" s="209" t="s">
        <v>482</v>
      </c>
      <c r="G74" s="209" t="s">
        <v>482</v>
      </c>
      <c r="H74" s="209" t="s">
        <v>793</v>
      </c>
      <c r="I74" s="209" t="s">
        <v>794</v>
      </c>
      <c r="J74" s="209" t="s">
        <v>795</v>
      </c>
      <c r="K74" s="209" t="s">
        <v>252</v>
      </c>
      <c r="L74" s="203"/>
    </row>
    <row r="75" s="202" customFormat="1" ht="30" customHeight="1">
      <c r="A75" s="203"/>
      <c r="B75" s="209" t="s">
        <v>167</v>
      </c>
      <c r="C75" s="209" t="s">
        <v>592</v>
      </c>
      <c r="D75" s="209" t="s">
        <v>796</v>
      </c>
      <c r="E75" s="209" t="s">
        <v>482</v>
      </c>
      <c r="F75" s="209" t="s">
        <v>246</v>
      </c>
      <c r="G75" s="209" t="s">
        <v>482</v>
      </c>
      <c r="H75" s="209" t="s">
        <v>797</v>
      </c>
      <c r="I75" s="209" t="s">
        <v>798</v>
      </c>
      <c r="J75" s="209" t="s">
        <v>799</v>
      </c>
      <c r="K75" s="209" t="s">
        <v>800</v>
      </c>
      <c r="L75" s="203"/>
    </row>
    <row r="76" s="202" customFormat="1" ht="30" customHeight="1">
      <c r="A76" s="203"/>
      <c r="B76" s="209" t="s">
        <v>168</v>
      </c>
      <c r="C76" s="209" t="s">
        <v>801</v>
      </c>
      <c r="D76" s="209" t="s">
        <v>802</v>
      </c>
      <c r="E76" s="209" t="s">
        <v>307</v>
      </c>
      <c r="F76" s="209" t="s">
        <v>803</v>
      </c>
      <c r="G76" s="209" t="s">
        <v>482</v>
      </c>
      <c r="H76" s="209" t="s">
        <v>804</v>
      </c>
      <c r="I76" s="209" t="s">
        <v>805</v>
      </c>
      <c r="J76" s="209" t="s">
        <v>806</v>
      </c>
      <c r="K76" s="209" t="s">
        <v>807</v>
      </c>
      <c r="L76" s="203"/>
    </row>
    <row r="77" s="202" customFormat="1" ht="30" customHeight="1">
      <c r="A77" s="203"/>
      <c r="B77" s="209" t="s">
        <v>169</v>
      </c>
      <c r="C77" s="209" t="s">
        <v>808</v>
      </c>
      <c r="D77" s="209" t="s">
        <v>809</v>
      </c>
      <c r="E77" s="209" t="s">
        <v>246</v>
      </c>
      <c r="F77" s="209" t="s">
        <v>810</v>
      </c>
      <c r="G77" s="209" t="s">
        <v>482</v>
      </c>
      <c r="H77" s="209" t="s">
        <v>811</v>
      </c>
      <c r="I77" s="209" t="s">
        <v>812</v>
      </c>
      <c r="J77" s="209" t="s">
        <v>813</v>
      </c>
      <c r="K77" s="209" t="s">
        <v>814</v>
      </c>
      <c r="L77" s="203"/>
    </row>
    <row r="78" s="202" customFormat="1" ht="30" customHeight="1">
      <c r="A78" s="203"/>
      <c r="B78" s="209" t="s">
        <v>170</v>
      </c>
      <c r="C78" s="209" t="s">
        <v>815</v>
      </c>
      <c r="D78" s="209" t="s">
        <v>816</v>
      </c>
      <c r="E78" s="209" t="s">
        <v>482</v>
      </c>
      <c r="F78" s="209" t="s">
        <v>364</v>
      </c>
      <c r="G78" s="209" t="s">
        <v>482</v>
      </c>
      <c r="H78" s="209" t="s">
        <v>817</v>
      </c>
      <c r="I78" s="209" t="s">
        <v>818</v>
      </c>
      <c r="J78" s="209" t="s">
        <v>819</v>
      </c>
      <c r="K78" s="209" t="s">
        <v>820</v>
      </c>
      <c r="L78" s="203"/>
    </row>
    <row r="79" s="202" customFormat="1" ht="30" customHeight="1">
      <c r="A79" s="203"/>
      <c r="B79" s="209" t="s">
        <v>171</v>
      </c>
      <c r="C79" s="209" t="s">
        <v>821</v>
      </c>
      <c r="D79" s="209" t="s">
        <v>822</v>
      </c>
      <c r="E79" s="209" t="s">
        <v>482</v>
      </c>
      <c r="F79" s="209" t="s">
        <v>309</v>
      </c>
      <c r="G79" s="209" t="s">
        <v>482</v>
      </c>
      <c r="H79" s="209" t="s">
        <v>823</v>
      </c>
      <c r="I79" s="209" t="s">
        <v>824</v>
      </c>
      <c r="J79" s="209" t="s">
        <v>825</v>
      </c>
      <c r="K79" s="209" t="s">
        <v>826</v>
      </c>
      <c r="L79" s="203"/>
    </row>
    <row r="80" s="202" customFormat="1" ht="30" customHeight="1">
      <c r="A80" s="203"/>
      <c r="B80" s="209" t="s">
        <v>172</v>
      </c>
      <c r="C80" s="209" t="s">
        <v>827</v>
      </c>
      <c r="D80" s="209" t="s">
        <v>828</v>
      </c>
      <c r="E80" s="209" t="s">
        <v>482</v>
      </c>
      <c r="F80" s="209" t="s">
        <v>309</v>
      </c>
      <c r="G80" s="209" t="s">
        <v>482</v>
      </c>
      <c r="H80" s="209" t="s">
        <v>829</v>
      </c>
      <c r="I80" s="209" t="s">
        <v>830</v>
      </c>
      <c r="J80" s="209" t="s">
        <v>831</v>
      </c>
      <c r="K80" s="209" t="s">
        <v>832</v>
      </c>
      <c r="L80" s="203"/>
    </row>
    <row r="81" s="202" customFormat="1" ht="30" customHeight="1">
      <c r="A81" s="203"/>
      <c r="B81" s="209" t="s">
        <v>173</v>
      </c>
      <c r="C81" s="209" t="s">
        <v>833</v>
      </c>
      <c r="D81" s="209" t="s">
        <v>834</v>
      </c>
      <c r="E81" s="209" t="s">
        <v>482</v>
      </c>
      <c r="F81" s="209" t="s">
        <v>482</v>
      </c>
      <c r="G81" s="209" t="s">
        <v>482</v>
      </c>
      <c r="H81" s="209" t="s">
        <v>835</v>
      </c>
      <c r="I81" s="209" t="s">
        <v>836</v>
      </c>
      <c r="J81" s="209" t="s">
        <v>837</v>
      </c>
      <c r="K81" s="209" t="s">
        <v>838</v>
      </c>
      <c r="L81" s="203"/>
    </row>
    <row r="82" s="202" customFormat="1" ht="30" customHeight="1">
      <c r="A82" s="203"/>
      <c r="B82" s="209" t="s">
        <v>174</v>
      </c>
      <c r="C82" s="209" t="s">
        <v>839</v>
      </c>
      <c r="D82" s="209" t="s">
        <v>840</v>
      </c>
      <c r="E82" s="209" t="s">
        <v>841</v>
      </c>
      <c r="F82" s="209" t="s">
        <v>842</v>
      </c>
      <c r="G82" s="209" t="s">
        <v>482</v>
      </c>
      <c r="H82" s="209" t="s">
        <v>843</v>
      </c>
      <c r="I82" s="209" t="s">
        <v>844</v>
      </c>
      <c r="J82" s="209" t="s">
        <v>845</v>
      </c>
      <c r="K82" s="209" t="s">
        <v>846</v>
      </c>
      <c r="L82" s="203"/>
    </row>
    <row r="83" s="202" customFormat="1" ht="30" customHeight="1">
      <c r="A83" s="203"/>
      <c r="B83" s="209" t="s">
        <v>847</v>
      </c>
      <c r="C83" s="209" t="s">
        <v>848</v>
      </c>
      <c r="D83" s="209" t="s">
        <v>849</v>
      </c>
      <c r="E83" s="209" t="s">
        <v>276</v>
      </c>
      <c r="F83" s="209" t="s">
        <v>482</v>
      </c>
      <c r="G83" s="209" t="s">
        <v>293</v>
      </c>
      <c r="H83" s="209" t="s">
        <v>850</v>
      </c>
      <c r="I83" s="209" t="s">
        <v>851</v>
      </c>
      <c r="J83" s="209" t="s">
        <v>852</v>
      </c>
      <c r="K83" s="209" t="s">
        <v>853</v>
      </c>
      <c r="L83" s="203"/>
    </row>
    <row r="84" s="202" customFormat="1" ht="30" customHeight="1">
      <c r="A84" s="203"/>
      <c r="B84" s="209" t="s">
        <v>123</v>
      </c>
      <c r="C84" s="209" t="s">
        <v>854</v>
      </c>
      <c r="D84" s="209" t="s">
        <v>855</v>
      </c>
      <c r="E84" s="209" t="s">
        <v>482</v>
      </c>
      <c r="F84" s="209" t="s">
        <v>856</v>
      </c>
      <c r="G84" s="209" t="s">
        <v>482</v>
      </c>
      <c r="H84" s="209" t="s">
        <v>857</v>
      </c>
      <c r="I84" s="209" t="s">
        <v>858</v>
      </c>
      <c r="J84" s="209" t="s">
        <v>567</v>
      </c>
      <c r="K84" s="209" t="s">
        <v>859</v>
      </c>
      <c r="L84" s="203"/>
    </row>
    <row r="85" s="202" customFormat="1" ht="30" customHeight="1">
      <c r="A85" s="203"/>
      <c r="B85" s="209" t="s">
        <v>124</v>
      </c>
      <c r="C85" s="209" t="s">
        <v>860</v>
      </c>
      <c r="D85" s="209" t="s">
        <v>861</v>
      </c>
      <c r="E85" s="209" t="s">
        <v>862</v>
      </c>
      <c r="F85" s="209" t="s">
        <v>863</v>
      </c>
      <c r="G85" s="209" t="s">
        <v>482</v>
      </c>
      <c r="H85" s="209" t="s">
        <v>864</v>
      </c>
      <c r="I85" s="209" t="s">
        <v>865</v>
      </c>
      <c r="J85" s="209" t="s">
        <v>866</v>
      </c>
      <c r="K85" s="209" t="s">
        <v>867</v>
      </c>
      <c r="L85" s="203"/>
    </row>
    <row r="86" s="202" customFormat="1" ht="30" customHeight="1">
      <c r="A86" s="203"/>
      <c r="B86" s="209" t="s">
        <v>125</v>
      </c>
      <c r="C86" s="209" t="s">
        <v>868</v>
      </c>
      <c r="D86" s="209" t="s">
        <v>868</v>
      </c>
      <c r="E86" s="209" t="s">
        <v>482</v>
      </c>
      <c r="F86" s="209" t="s">
        <v>482</v>
      </c>
      <c r="G86" s="209" t="s">
        <v>482</v>
      </c>
      <c r="H86" s="209" t="s">
        <v>869</v>
      </c>
      <c r="I86" s="209" t="s">
        <v>870</v>
      </c>
      <c r="J86" s="209" t="s">
        <v>482</v>
      </c>
      <c r="K86" s="209" t="s">
        <v>871</v>
      </c>
      <c r="L86" s="203"/>
    </row>
    <row r="87" s="202" customFormat="1" ht="30" customHeight="1">
      <c r="A87" s="203"/>
      <c r="B87" s="209" t="s">
        <v>872</v>
      </c>
      <c r="C87" s="209" t="s">
        <v>873</v>
      </c>
      <c r="D87" s="209" t="s">
        <v>874</v>
      </c>
      <c r="E87" s="209" t="s">
        <v>482</v>
      </c>
      <c r="F87" s="209" t="s">
        <v>875</v>
      </c>
      <c r="G87" s="209" t="s">
        <v>482</v>
      </c>
      <c r="H87" s="209" t="s">
        <v>876</v>
      </c>
      <c r="I87" s="209" t="s">
        <v>877</v>
      </c>
      <c r="J87" s="209" t="s">
        <v>482</v>
      </c>
      <c r="K87" s="209" t="s">
        <v>878</v>
      </c>
      <c r="L87" s="203"/>
    </row>
    <row r="88" s="202" customFormat="1" ht="30" customHeight="1">
      <c r="A88" s="203"/>
      <c r="B88" s="209" t="s">
        <v>127</v>
      </c>
      <c r="C88" s="209" t="s">
        <v>879</v>
      </c>
      <c r="D88" s="209" t="s">
        <v>880</v>
      </c>
      <c r="E88" s="209" t="s">
        <v>482</v>
      </c>
      <c r="F88" s="209" t="s">
        <v>881</v>
      </c>
      <c r="G88" s="209" t="s">
        <v>482</v>
      </c>
      <c r="H88" s="209" t="s">
        <v>882</v>
      </c>
      <c r="I88" s="209" t="s">
        <v>883</v>
      </c>
      <c r="J88" s="209" t="s">
        <v>884</v>
      </c>
      <c r="K88" s="209" t="s">
        <v>885</v>
      </c>
      <c r="L88" s="203"/>
    </row>
    <row r="89" s="202" customFormat="1" ht="30" customHeight="1">
      <c r="A89" s="203"/>
      <c r="B89" s="209" t="s">
        <v>128</v>
      </c>
      <c r="C89" s="209" t="s">
        <v>886</v>
      </c>
      <c r="D89" s="209" t="s">
        <v>886</v>
      </c>
      <c r="E89" s="209" t="s">
        <v>482</v>
      </c>
      <c r="F89" s="209" t="s">
        <v>482</v>
      </c>
      <c r="G89" s="209" t="s">
        <v>482</v>
      </c>
      <c r="H89" s="209" t="s">
        <v>887</v>
      </c>
      <c r="I89" s="209" t="s">
        <v>888</v>
      </c>
      <c r="J89" s="209" t="s">
        <v>482</v>
      </c>
      <c r="K89" s="209" t="s">
        <v>889</v>
      </c>
      <c r="L89" s="203"/>
    </row>
    <row r="90" s="202" customFormat="1" ht="30" customHeight="1">
      <c r="A90" s="203"/>
      <c r="B90" s="209" t="s">
        <v>129</v>
      </c>
      <c r="C90" s="209" t="s">
        <v>890</v>
      </c>
      <c r="D90" s="209" t="s">
        <v>891</v>
      </c>
      <c r="E90" s="209" t="s">
        <v>482</v>
      </c>
      <c r="F90" s="209" t="s">
        <v>892</v>
      </c>
      <c r="G90" s="209" t="s">
        <v>482</v>
      </c>
      <c r="H90" s="209" t="s">
        <v>893</v>
      </c>
      <c r="I90" s="209" t="s">
        <v>894</v>
      </c>
      <c r="J90" s="209" t="s">
        <v>895</v>
      </c>
      <c r="K90" s="209" t="s">
        <v>896</v>
      </c>
      <c r="L90" s="203"/>
    </row>
    <row r="91" s="202" customFormat="1" ht="30" customHeight="1">
      <c r="A91" s="203"/>
      <c r="B91" s="209" t="s">
        <v>130</v>
      </c>
      <c r="C91" s="209" t="s">
        <v>897</v>
      </c>
      <c r="D91" s="209" t="s">
        <v>897</v>
      </c>
      <c r="E91" s="209" t="s">
        <v>482</v>
      </c>
      <c r="F91" s="209" t="s">
        <v>482</v>
      </c>
      <c r="G91" s="209" t="s">
        <v>482</v>
      </c>
      <c r="H91" s="209" t="s">
        <v>898</v>
      </c>
      <c r="I91" s="209" t="s">
        <v>899</v>
      </c>
      <c r="J91" s="209" t="s">
        <v>482</v>
      </c>
      <c r="K91" s="209" t="s">
        <v>900</v>
      </c>
      <c r="L91" s="203"/>
    </row>
    <row r="92" s="202" customFormat="1" ht="30" customHeight="1">
      <c r="A92" s="203"/>
      <c r="B92" s="209" t="s">
        <v>131</v>
      </c>
      <c r="C92" s="209" t="s">
        <v>901</v>
      </c>
      <c r="D92" s="209" t="s">
        <v>902</v>
      </c>
      <c r="E92" s="209" t="s">
        <v>482</v>
      </c>
      <c r="F92" s="209" t="s">
        <v>903</v>
      </c>
      <c r="G92" s="209" t="s">
        <v>482</v>
      </c>
      <c r="H92" s="209" t="s">
        <v>904</v>
      </c>
      <c r="I92" s="209" t="s">
        <v>905</v>
      </c>
      <c r="J92" s="209" t="s">
        <v>482</v>
      </c>
      <c r="K92" s="209" t="s">
        <v>906</v>
      </c>
      <c r="L92" s="203"/>
    </row>
    <row r="93" s="202" customFormat="1" ht="30" customHeight="1">
      <c r="A93" s="203"/>
      <c r="B93" s="209" t="s">
        <v>132</v>
      </c>
      <c r="C93" s="209" t="s">
        <v>907</v>
      </c>
      <c r="D93" s="209" t="s">
        <v>907</v>
      </c>
      <c r="E93" s="209" t="s">
        <v>482</v>
      </c>
      <c r="F93" s="209" t="s">
        <v>482</v>
      </c>
      <c r="G93" s="209" t="s">
        <v>482</v>
      </c>
      <c r="H93" s="209" t="s">
        <v>908</v>
      </c>
      <c r="I93" s="209" t="s">
        <v>909</v>
      </c>
      <c r="J93" s="209" t="s">
        <v>482</v>
      </c>
      <c r="K93" s="209" t="s">
        <v>910</v>
      </c>
      <c r="L93" s="203"/>
    </row>
    <row r="94" s="202" customFormat="1" ht="30" customHeight="1">
      <c r="A94" s="203"/>
      <c r="B94" s="209" t="s">
        <v>911</v>
      </c>
      <c r="C94" s="209" t="s">
        <v>912</v>
      </c>
      <c r="D94" s="209" t="s">
        <v>913</v>
      </c>
      <c r="E94" s="209" t="s">
        <v>482</v>
      </c>
      <c r="F94" s="209" t="s">
        <v>914</v>
      </c>
      <c r="G94" s="209" t="s">
        <v>482</v>
      </c>
      <c r="H94" s="209" t="s">
        <v>915</v>
      </c>
      <c r="I94" s="209" t="s">
        <v>916</v>
      </c>
      <c r="J94" s="209" t="s">
        <v>482</v>
      </c>
      <c r="K94" s="209" t="s">
        <v>917</v>
      </c>
      <c r="L94" s="203"/>
    </row>
    <row r="95" s="202" customFormat="1" ht="30" customHeight="1">
      <c r="A95" s="203"/>
      <c r="B95" s="209" t="s">
        <v>134</v>
      </c>
      <c r="C95" s="209" t="s">
        <v>918</v>
      </c>
      <c r="D95" s="209" t="s">
        <v>919</v>
      </c>
      <c r="E95" s="209" t="s">
        <v>482</v>
      </c>
      <c r="F95" s="209" t="s">
        <v>920</v>
      </c>
      <c r="G95" s="209" t="s">
        <v>482</v>
      </c>
      <c r="H95" s="209" t="s">
        <v>921</v>
      </c>
      <c r="I95" s="209" t="s">
        <v>922</v>
      </c>
      <c r="J95" s="209" t="s">
        <v>482</v>
      </c>
      <c r="K95" s="209" t="s">
        <v>923</v>
      </c>
      <c r="L95" s="203"/>
    </row>
    <row r="96" s="202" customFormat="1" ht="30" customHeight="1">
      <c r="A96" s="203"/>
      <c r="B96" s="209" t="s">
        <v>924</v>
      </c>
      <c r="C96" s="209" t="s">
        <v>925</v>
      </c>
      <c r="D96" s="209" t="s">
        <v>925</v>
      </c>
      <c r="E96" s="209" t="s">
        <v>482</v>
      </c>
      <c r="F96" s="209" t="s">
        <v>482</v>
      </c>
      <c r="G96" s="209" t="s">
        <v>482</v>
      </c>
      <c r="H96" s="209" t="s">
        <v>926</v>
      </c>
      <c r="I96" s="209" t="s">
        <v>927</v>
      </c>
      <c r="J96" s="209" t="s">
        <v>928</v>
      </c>
      <c r="K96" s="209" t="s">
        <v>929</v>
      </c>
      <c r="L96" s="203"/>
    </row>
    <row r="97" s="202" customFormat="1" ht="30" customHeight="1">
      <c r="A97" s="203"/>
      <c r="B97" s="209" t="s">
        <v>138</v>
      </c>
      <c r="C97" s="209" t="s">
        <v>930</v>
      </c>
      <c r="D97" s="209" t="s">
        <v>931</v>
      </c>
      <c r="E97" s="209" t="s">
        <v>482</v>
      </c>
      <c r="F97" s="209" t="s">
        <v>932</v>
      </c>
      <c r="G97" s="209" t="s">
        <v>482</v>
      </c>
      <c r="H97" s="209" t="s">
        <v>933</v>
      </c>
      <c r="I97" s="209" t="s">
        <v>934</v>
      </c>
      <c r="J97" s="209" t="s">
        <v>935</v>
      </c>
      <c r="K97" s="209" t="s">
        <v>936</v>
      </c>
      <c r="L97" s="203"/>
    </row>
    <row r="98" s="202" customFormat="1" ht="30" customHeight="1">
      <c r="A98" s="203"/>
      <c r="B98" s="209" t="s">
        <v>139</v>
      </c>
      <c r="C98" s="209" t="s">
        <v>937</v>
      </c>
      <c r="D98" s="209" t="s">
        <v>938</v>
      </c>
      <c r="E98" s="209" t="s">
        <v>482</v>
      </c>
      <c r="F98" s="209" t="s">
        <v>939</v>
      </c>
      <c r="G98" s="209" t="s">
        <v>482</v>
      </c>
      <c r="H98" s="209" t="s">
        <v>940</v>
      </c>
      <c r="I98" s="209" t="s">
        <v>941</v>
      </c>
      <c r="J98" s="209" t="s">
        <v>482</v>
      </c>
      <c r="K98" s="209" t="s">
        <v>942</v>
      </c>
      <c r="L98" s="203"/>
    </row>
    <row r="99" s="202" customFormat="1" ht="30" customHeight="1">
      <c r="A99" s="203"/>
      <c r="B99" s="209" t="s">
        <v>140</v>
      </c>
      <c r="C99" s="209" t="s">
        <v>943</v>
      </c>
      <c r="D99" s="209" t="s">
        <v>944</v>
      </c>
      <c r="E99" s="209" t="s">
        <v>482</v>
      </c>
      <c r="F99" s="209" t="s">
        <v>945</v>
      </c>
      <c r="G99" s="209" t="s">
        <v>482</v>
      </c>
      <c r="H99" s="209" t="s">
        <v>946</v>
      </c>
      <c r="I99" s="209" t="s">
        <v>947</v>
      </c>
      <c r="J99" s="209" t="s">
        <v>482</v>
      </c>
      <c r="K99" s="209" t="s">
        <v>948</v>
      </c>
      <c r="L99" s="203"/>
    </row>
    <row r="100" s="202" customFormat="1" ht="30" customHeight="1">
      <c r="A100" s="203"/>
      <c r="B100" s="209" t="s">
        <v>141</v>
      </c>
      <c r="C100" s="209" t="s">
        <v>949</v>
      </c>
      <c r="D100" s="209" t="s">
        <v>950</v>
      </c>
      <c r="E100" s="209" t="s">
        <v>482</v>
      </c>
      <c r="F100" s="209" t="s">
        <v>951</v>
      </c>
      <c r="G100" s="209" t="s">
        <v>482</v>
      </c>
      <c r="H100" s="209" t="s">
        <v>952</v>
      </c>
      <c r="I100" s="209" t="s">
        <v>953</v>
      </c>
      <c r="J100" s="209" t="s">
        <v>282</v>
      </c>
      <c r="K100" s="209" t="s">
        <v>954</v>
      </c>
      <c r="L100" s="203"/>
    </row>
    <row r="101" s="202" customFormat="1" ht="30" customHeight="1">
      <c r="A101" s="203"/>
      <c r="B101" s="209" t="s">
        <v>142</v>
      </c>
      <c r="C101" s="209" t="s">
        <v>955</v>
      </c>
      <c r="D101" s="209" t="s">
        <v>956</v>
      </c>
      <c r="E101" s="209" t="s">
        <v>482</v>
      </c>
      <c r="F101" s="209" t="s">
        <v>957</v>
      </c>
      <c r="G101" s="209" t="s">
        <v>482</v>
      </c>
      <c r="H101" s="209" t="s">
        <v>958</v>
      </c>
      <c r="I101" s="209" t="s">
        <v>959</v>
      </c>
      <c r="J101" s="209" t="s">
        <v>482</v>
      </c>
      <c r="K101" s="209" t="s">
        <v>960</v>
      </c>
      <c r="L101" s="203"/>
    </row>
    <row r="102" s="202" customFormat="1" ht="30" customHeight="1">
      <c r="A102" s="203"/>
      <c r="B102" s="209" t="s">
        <v>143</v>
      </c>
      <c r="C102" s="209" t="s">
        <v>961</v>
      </c>
      <c r="D102" s="209" t="s">
        <v>962</v>
      </c>
      <c r="E102" s="209" t="s">
        <v>482</v>
      </c>
      <c r="F102" s="209" t="s">
        <v>246</v>
      </c>
      <c r="G102" s="209" t="s">
        <v>482</v>
      </c>
      <c r="H102" s="209" t="s">
        <v>963</v>
      </c>
      <c r="I102" s="209" t="s">
        <v>964</v>
      </c>
      <c r="J102" s="209" t="s">
        <v>965</v>
      </c>
      <c r="K102" s="209" t="s">
        <v>966</v>
      </c>
      <c r="L102" s="203"/>
    </row>
    <row r="103" s="202" customFormat="1" ht="30" customHeight="1">
      <c r="A103" s="203"/>
      <c r="B103" s="209" t="s">
        <v>144</v>
      </c>
      <c r="C103" s="209" t="s">
        <v>967</v>
      </c>
      <c r="D103" s="209" t="s">
        <v>968</v>
      </c>
      <c r="E103" s="209" t="s">
        <v>482</v>
      </c>
      <c r="F103" s="209" t="s">
        <v>969</v>
      </c>
      <c r="G103" s="209" t="s">
        <v>970</v>
      </c>
      <c r="H103" s="209" t="s">
        <v>971</v>
      </c>
      <c r="I103" s="209" t="s">
        <v>972</v>
      </c>
      <c r="J103" s="209" t="s">
        <v>973</v>
      </c>
      <c r="K103" s="209" t="s">
        <v>974</v>
      </c>
      <c r="L103" s="203"/>
    </row>
    <row r="104" s="202" customFormat="1" ht="30" customHeight="1">
      <c r="A104" s="203"/>
      <c r="B104" s="209" t="s">
        <v>145</v>
      </c>
      <c r="C104" s="209" t="s">
        <v>975</v>
      </c>
      <c r="D104" s="209" t="s">
        <v>976</v>
      </c>
      <c r="E104" s="209" t="s">
        <v>482</v>
      </c>
      <c r="F104" s="209" t="s">
        <v>482</v>
      </c>
      <c r="G104" s="209" t="s">
        <v>320</v>
      </c>
      <c r="H104" s="209" t="s">
        <v>977</v>
      </c>
      <c r="I104" s="209" t="s">
        <v>978</v>
      </c>
      <c r="J104" s="209" t="s">
        <v>979</v>
      </c>
      <c r="K104" s="209" t="s">
        <v>980</v>
      </c>
      <c r="L104" s="203"/>
    </row>
    <row r="105" s="202" customFormat="1" ht="30" customHeight="1">
      <c r="A105" s="203"/>
      <c r="B105" s="209" t="s">
        <v>161</v>
      </c>
      <c r="C105" s="209" t="s">
        <v>482</v>
      </c>
      <c r="D105" s="209" t="s">
        <v>482</v>
      </c>
      <c r="E105" s="209" t="s">
        <v>482</v>
      </c>
      <c r="F105" s="209" t="s">
        <v>482</v>
      </c>
      <c r="G105" s="209" t="s">
        <v>482</v>
      </c>
      <c r="H105" s="209" t="s">
        <v>981</v>
      </c>
      <c r="I105" s="209" t="s">
        <v>981</v>
      </c>
      <c r="J105" s="209" t="s">
        <v>482</v>
      </c>
      <c r="K105" s="209" t="s">
        <v>482</v>
      </c>
      <c r="L105" s="203"/>
    </row>
    <row r="106" s="202" customFormat="1" ht="30" customHeight="1">
      <c r="A106" s="203"/>
      <c r="B106" s="209" t="s">
        <v>162</v>
      </c>
      <c r="C106" s="209" t="s">
        <v>982</v>
      </c>
      <c r="D106" s="209" t="s">
        <v>982</v>
      </c>
      <c r="E106" s="209" t="s">
        <v>482</v>
      </c>
      <c r="F106" s="209" t="s">
        <v>482</v>
      </c>
      <c r="G106" s="209" t="s">
        <v>482</v>
      </c>
      <c r="H106" s="209" t="s">
        <v>983</v>
      </c>
      <c r="I106" s="209" t="s">
        <v>983</v>
      </c>
      <c r="J106" s="209" t="s">
        <v>482</v>
      </c>
      <c r="K106" s="209" t="s">
        <v>482</v>
      </c>
      <c r="L106" s="203"/>
    </row>
    <row r="107" s="202" customFormat="1" ht="30" customHeight="1">
      <c r="A107" s="203"/>
      <c r="B107" s="209" t="s">
        <v>163</v>
      </c>
      <c r="C107" s="209" t="s">
        <v>984</v>
      </c>
      <c r="D107" s="209" t="s">
        <v>984</v>
      </c>
      <c r="E107" s="209" t="s">
        <v>482</v>
      </c>
      <c r="F107" s="209" t="s">
        <v>482</v>
      </c>
      <c r="G107" s="209" t="s">
        <v>482</v>
      </c>
      <c r="H107" s="209" t="s">
        <v>985</v>
      </c>
      <c r="I107" s="209" t="s">
        <v>986</v>
      </c>
      <c r="J107" s="209" t="s">
        <v>330</v>
      </c>
      <c r="K107" s="209" t="s">
        <v>482</v>
      </c>
      <c r="L107" s="203"/>
    </row>
    <row r="108" s="202" customFormat="1" ht="30" customHeight="1">
      <c r="A108" s="203"/>
      <c r="B108" s="209" t="s">
        <v>178</v>
      </c>
      <c r="C108" s="209" t="s">
        <v>987</v>
      </c>
      <c r="D108" s="209" t="s">
        <v>988</v>
      </c>
      <c r="E108" s="209" t="s">
        <v>482</v>
      </c>
      <c r="F108" s="209" t="s">
        <v>482</v>
      </c>
      <c r="G108" s="209" t="s">
        <v>989</v>
      </c>
      <c r="H108" s="209" t="s">
        <v>990</v>
      </c>
      <c r="I108" s="209" t="s">
        <v>991</v>
      </c>
      <c r="J108" s="209" t="s">
        <v>482</v>
      </c>
      <c r="K108" s="209" t="s">
        <v>992</v>
      </c>
      <c r="L108" s="203"/>
    </row>
    <row r="109" s="202" customFormat="1" ht="30" customHeight="1">
      <c r="A109" s="203"/>
      <c r="B109" s="209" t="s">
        <v>993</v>
      </c>
      <c r="C109" s="209" t="s">
        <v>994</v>
      </c>
      <c r="D109" s="209" t="s">
        <v>995</v>
      </c>
      <c r="E109" s="209" t="s">
        <v>482</v>
      </c>
      <c r="F109" s="209" t="s">
        <v>996</v>
      </c>
      <c r="G109" s="209" t="s">
        <v>482</v>
      </c>
      <c r="H109" s="209" t="s">
        <v>997</v>
      </c>
      <c r="I109" s="209" t="s">
        <v>998</v>
      </c>
      <c r="J109" s="209" t="s">
        <v>482</v>
      </c>
      <c r="K109" s="209" t="s">
        <v>999</v>
      </c>
      <c r="L109" s="203"/>
    </row>
    <row r="110" s="202" customFormat="1" ht="30" customHeight="1">
      <c r="A110" s="203"/>
      <c r="B110" s="209" t="s">
        <v>180</v>
      </c>
      <c r="C110" s="209" t="s">
        <v>1000</v>
      </c>
      <c r="D110" s="209" t="s">
        <v>1001</v>
      </c>
      <c r="E110" s="209" t="s">
        <v>482</v>
      </c>
      <c r="F110" s="209" t="s">
        <v>1002</v>
      </c>
      <c r="G110" s="209" t="s">
        <v>482</v>
      </c>
      <c r="H110" s="209" t="s">
        <v>1003</v>
      </c>
      <c r="I110" s="209" t="s">
        <v>1004</v>
      </c>
      <c r="J110" s="209" t="s">
        <v>482</v>
      </c>
      <c r="K110" s="209" t="s">
        <v>1005</v>
      </c>
      <c r="L110" s="203"/>
    </row>
    <row r="111" s="202" customFormat="1" ht="30" customHeight="1">
      <c r="A111" s="203"/>
      <c r="B111" s="209" t="s">
        <v>181</v>
      </c>
      <c r="C111" s="209" t="s">
        <v>1006</v>
      </c>
      <c r="D111" s="209" t="s">
        <v>1007</v>
      </c>
      <c r="E111" s="209" t="s">
        <v>482</v>
      </c>
      <c r="F111" s="209" t="s">
        <v>1008</v>
      </c>
      <c r="G111" s="209" t="s">
        <v>482</v>
      </c>
      <c r="H111" s="209" t="s">
        <v>1009</v>
      </c>
      <c r="I111" s="209" t="s">
        <v>1010</v>
      </c>
      <c r="J111" s="209" t="s">
        <v>482</v>
      </c>
      <c r="K111" s="209" t="s">
        <v>1011</v>
      </c>
      <c r="L111" s="203"/>
    </row>
    <row r="112" s="202" customFormat="1" ht="30" customHeight="1">
      <c r="A112" s="203"/>
      <c r="B112" s="209" t="s">
        <v>182</v>
      </c>
      <c r="C112" s="209" t="s">
        <v>1012</v>
      </c>
      <c r="D112" s="209" t="s">
        <v>1012</v>
      </c>
      <c r="E112" s="209" t="s">
        <v>482</v>
      </c>
      <c r="F112" s="209" t="s">
        <v>482</v>
      </c>
      <c r="G112" s="209" t="s">
        <v>482</v>
      </c>
      <c r="H112" s="209" t="s">
        <v>1013</v>
      </c>
      <c r="I112" s="209" t="s">
        <v>1014</v>
      </c>
      <c r="J112" s="209" t="s">
        <v>482</v>
      </c>
      <c r="K112" s="209" t="s">
        <v>482</v>
      </c>
      <c r="L112" s="203"/>
    </row>
    <row r="113" s="202" customFormat="1" ht="30" customHeight="1">
      <c r="A113" s="203"/>
      <c r="B113" s="209" t="s">
        <v>1015</v>
      </c>
      <c r="C113" s="209" t="s">
        <v>1016</v>
      </c>
      <c r="D113" s="209" t="s">
        <v>1017</v>
      </c>
      <c r="E113" s="209" t="s">
        <v>482</v>
      </c>
      <c r="F113" s="209" t="s">
        <v>1018</v>
      </c>
      <c r="G113" s="209" t="s">
        <v>482</v>
      </c>
      <c r="H113" s="209" t="s">
        <v>1019</v>
      </c>
      <c r="I113" s="209" t="s">
        <v>1020</v>
      </c>
      <c r="J113" s="209" t="s">
        <v>1021</v>
      </c>
      <c r="K113" s="209" t="s">
        <v>1022</v>
      </c>
      <c r="L113" s="203"/>
    </row>
    <row r="114" s="202" customFormat="1" ht="30" customHeight="1">
      <c r="A114" s="203"/>
      <c r="B114" s="209" t="s">
        <v>1023</v>
      </c>
      <c r="C114" s="209" t="s">
        <v>1024</v>
      </c>
      <c r="D114" s="209" t="s">
        <v>1025</v>
      </c>
      <c r="E114" s="209" t="s">
        <v>482</v>
      </c>
      <c r="F114" s="209" t="s">
        <v>482</v>
      </c>
      <c r="G114" s="209" t="s">
        <v>366</v>
      </c>
      <c r="H114" s="209" t="s">
        <v>1026</v>
      </c>
      <c r="I114" s="209" t="s">
        <v>1027</v>
      </c>
      <c r="J114" s="209" t="s">
        <v>1028</v>
      </c>
      <c r="K114" s="209" t="s">
        <v>1029</v>
      </c>
      <c r="L114" s="203"/>
    </row>
    <row r="115" s="202" customFormat="1" ht="30" customHeight="1">
      <c r="A115" s="203"/>
      <c r="B115" s="209" t="s">
        <v>185</v>
      </c>
      <c r="C115" s="209" t="s">
        <v>1030</v>
      </c>
      <c r="D115" s="209" t="s">
        <v>1031</v>
      </c>
      <c r="E115" s="209" t="s">
        <v>314</v>
      </c>
      <c r="F115" s="209" t="s">
        <v>1032</v>
      </c>
      <c r="G115" s="209" t="s">
        <v>482</v>
      </c>
      <c r="H115" s="209" t="s">
        <v>1033</v>
      </c>
      <c r="I115" s="209" t="s">
        <v>1034</v>
      </c>
      <c r="J115" s="209" t="s">
        <v>1035</v>
      </c>
      <c r="K115" s="209" t="s">
        <v>1036</v>
      </c>
      <c r="L115" s="203"/>
    </row>
    <row r="116" s="202" customFormat="1" ht="30" customHeight="1">
      <c r="A116" s="203"/>
      <c r="B116" s="209" t="s">
        <v>186</v>
      </c>
      <c r="C116" s="209" t="s">
        <v>1037</v>
      </c>
      <c r="D116" s="209" t="s">
        <v>1038</v>
      </c>
      <c r="E116" s="209" t="s">
        <v>482</v>
      </c>
      <c r="F116" s="209" t="s">
        <v>314</v>
      </c>
      <c r="G116" s="209" t="s">
        <v>482</v>
      </c>
      <c r="H116" s="209" t="s">
        <v>1039</v>
      </c>
      <c r="I116" s="209" t="s">
        <v>1040</v>
      </c>
      <c r="J116" s="209" t="s">
        <v>482</v>
      </c>
      <c r="K116" s="209" t="s">
        <v>1041</v>
      </c>
      <c r="L116" s="203"/>
    </row>
    <row r="117" s="202" customFormat="1" ht="30" customHeight="1">
      <c r="A117" s="203"/>
      <c r="B117" s="209" t="s">
        <v>187</v>
      </c>
      <c r="C117" s="209" t="s">
        <v>1042</v>
      </c>
      <c r="D117" s="209" t="s">
        <v>1043</v>
      </c>
      <c r="E117" s="209" t="s">
        <v>482</v>
      </c>
      <c r="F117" s="209" t="s">
        <v>1044</v>
      </c>
      <c r="G117" s="209" t="s">
        <v>482</v>
      </c>
      <c r="H117" s="209" t="s">
        <v>1045</v>
      </c>
      <c r="I117" s="209" t="s">
        <v>1046</v>
      </c>
      <c r="J117" s="209" t="s">
        <v>482</v>
      </c>
      <c r="K117" s="209" t="s">
        <v>1047</v>
      </c>
      <c r="L117" s="203"/>
    </row>
    <row r="118" s="202" customFormat="1" ht="30" customHeight="1">
      <c r="A118" s="203"/>
      <c r="B118" s="209" t="s">
        <v>188</v>
      </c>
      <c r="C118" s="209" t="s">
        <v>1048</v>
      </c>
      <c r="D118" s="209" t="s">
        <v>1048</v>
      </c>
      <c r="E118" s="209" t="s">
        <v>482</v>
      </c>
      <c r="F118" s="209" t="s">
        <v>482</v>
      </c>
      <c r="G118" s="209" t="s">
        <v>482</v>
      </c>
      <c r="H118" s="209" t="s">
        <v>1049</v>
      </c>
      <c r="I118" s="209" t="s">
        <v>1050</v>
      </c>
      <c r="J118" s="209" t="s">
        <v>482</v>
      </c>
      <c r="K118" s="209" t="s">
        <v>1051</v>
      </c>
      <c r="L118" s="203"/>
    </row>
    <row r="119" s="202" customFormat="1" ht="30" customHeight="1">
      <c r="A119" s="203"/>
      <c r="B119" s="209" t="s">
        <v>189</v>
      </c>
      <c r="C119" s="209" t="s">
        <v>1052</v>
      </c>
      <c r="D119" s="209" t="s">
        <v>1053</v>
      </c>
      <c r="E119" s="209" t="s">
        <v>482</v>
      </c>
      <c r="F119" s="209" t="s">
        <v>1054</v>
      </c>
      <c r="G119" s="209" t="s">
        <v>482</v>
      </c>
      <c r="H119" s="209" t="s">
        <v>1055</v>
      </c>
      <c r="I119" s="209" t="s">
        <v>1056</v>
      </c>
      <c r="J119" s="209" t="s">
        <v>482</v>
      </c>
      <c r="K119" s="209" t="s">
        <v>1057</v>
      </c>
      <c r="L119" s="203"/>
    </row>
    <row r="120" s="202" customFormat="1" ht="30" customHeight="1">
      <c r="A120" s="203"/>
      <c r="B120" s="209" t="s">
        <v>199</v>
      </c>
      <c r="C120" s="209" t="s">
        <v>1058</v>
      </c>
      <c r="D120" s="209" t="s">
        <v>1058</v>
      </c>
      <c r="E120" s="209" t="s">
        <v>482</v>
      </c>
      <c r="F120" s="209" t="s">
        <v>482</v>
      </c>
      <c r="G120" s="209" t="s">
        <v>482</v>
      </c>
      <c r="H120" s="209" t="s">
        <v>1059</v>
      </c>
      <c r="I120" s="209" t="s">
        <v>1060</v>
      </c>
      <c r="J120" s="209" t="s">
        <v>1061</v>
      </c>
      <c r="K120" s="209" t="s">
        <v>482</v>
      </c>
      <c r="L120" s="203"/>
    </row>
    <row r="121" s="202" customFormat="1" ht="30" customHeight="1">
      <c r="A121" s="203"/>
      <c r="B121" s="209" t="s">
        <v>200</v>
      </c>
      <c r="C121" s="209" t="s">
        <v>1062</v>
      </c>
      <c r="D121" s="209" t="s">
        <v>1063</v>
      </c>
      <c r="E121" s="209" t="s">
        <v>320</v>
      </c>
      <c r="F121" s="209" t="s">
        <v>482</v>
      </c>
      <c r="G121" s="209" t="s">
        <v>482</v>
      </c>
      <c r="H121" s="209" t="s">
        <v>1064</v>
      </c>
      <c r="I121" s="209" t="s">
        <v>1065</v>
      </c>
      <c r="J121" s="209" t="s">
        <v>1066</v>
      </c>
      <c r="K121" s="209" t="s">
        <v>1067</v>
      </c>
      <c r="L121" s="203"/>
    </row>
    <row r="122" s="202" customFormat="1" ht="30" customHeight="1">
      <c r="A122" s="203"/>
      <c r="B122" s="209" t="s">
        <v>201</v>
      </c>
      <c r="C122" s="209" t="s">
        <v>1068</v>
      </c>
      <c r="D122" s="209" t="s">
        <v>1069</v>
      </c>
      <c r="E122" s="209" t="s">
        <v>1070</v>
      </c>
      <c r="F122" s="209" t="s">
        <v>482</v>
      </c>
      <c r="G122" s="209" t="s">
        <v>482</v>
      </c>
      <c r="H122" s="209" t="s">
        <v>1071</v>
      </c>
      <c r="I122" s="209" t="s">
        <v>1072</v>
      </c>
      <c r="J122" s="209" t="s">
        <v>1073</v>
      </c>
      <c r="K122" s="209" t="s">
        <v>1074</v>
      </c>
      <c r="L122" s="203"/>
    </row>
    <row r="123" s="202" customFormat="1" ht="30" customHeight="1">
      <c r="A123" s="203"/>
      <c r="B123" s="209" t="s">
        <v>202</v>
      </c>
      <c r="C123" s="209" t="s">
        <v>1075</v>
      </c>
      <c r="D123" s="209" t="s">
        <v>1075</v>
      </c>
      <c r="E123" s="209" t="s">
        <v>482</v>
      </c>
      <c r="F123" s="209" t="s">
        <v>482</v>
      </c>
      <c r="G123" s="209" t="s">
        <v>482</v>
      </c>
      <c r="H123" s="209" t="s">
        <v>1076</v>
      </c>
      <c r="I123" s="209" t="s">
        <v>1077</v>
      </c>
      <c r="J123" s="209" t="s">
        <v>592</v>
      </c>
      <c r="K123" s="209" t="s">
        <v>1078</v>
      </c>
      <c r="L123" s="203"/>
    </row>
    <row r="124" s="202" customFormat="1" ht="30" customHeight="1">
      <c r="A124" s="203"/>
      <c r="B124" s="209" t="s">
        <v>203</v>
      </c>
      <c r="C124" s="209" t="s">
        <v>1079</v>
      </c>
      <c r="D124" s="209" t="s">
        <v>1079</v>
      </c>
      <c r="E124" s="209" t="s">
        <v>482</v>
      </c>
      <c r="F124" s="209" t="s">
        <v>482</v>
      </c>
      <c r="G124" s="209" t="s">
        <v>482</v>
      </c>
      <c r="H124" s="209" t="s">
        <v>1080</v>
      </c>
      <c r="I124" s="209" t="s">
        <v>1081</v>
      </c>
      <c r="J124" s="209" t="s">
        <v>1082</v>
      </c>
      <c r="K124" s="209" t="s">
        <v>1083</v>
      </c>
      <c r="L124" s="203"/>
    </row>
    <row r="125" s="202" customFormat="1" ht="30" customHeight="1">
      <c r="A125" s="203"/>
      <c r="B125" s="209" t="s">
        <v>213</v>
      </c>
      <c r="C125" s="209" t="s">
        <v>1084</v>
      </c>
      <c r="D125" s="209" t="s">
        <v>1085</v>
      </c>
      <c r="E125" s="209" t="s">
        <v>482</v>
      </c>
      <c r="F125" s="209" t="s">
        <v>1086</v>
      </c>
      <c r="G125" s="209" t="s">
        <v>282</v>
      </c>
      <c r="H125" s="209" t="s">
        <v>1087</v>
      </c>
      <c r="I125" s="209" t="s">
        <v>1088</v>
      </c>
      <c r="J125" s="209" t="s">
        <v>1089</v>
      </c>
      <c r="K125" s="209" t="s">
        <v>1090</v>
      </c>
      <c r="L125" s="203"/>
    </row>
    <row r="126" s="202" customFormat="1" ht="30" customHeight="1">
      <c r="A126" s="203"/>
      <c r="B126" s="209" t="s">
        <v>214</v>
      </c>
      <c r="C126" s="209" t="s">
        <v>1091</v>
      </c>
      <c r="D126" s="209" t="s">
        <v>1092</v>
      </c>
      <c r="E126" s="209" t="s">
        <v>482</v>
      </c>
      <c r="F126" s="209" t="s">
        <v>1093</v>
      </c>
      <c r="G126" s="209" t="s">
        <v>482</v>
      </c>
      <c r="H126" s="209" t="s">
        <v>1094</v>
      </c>
      <c r="I126" s="209" t="s">
        <v>1095</v>
      </c>
      <c r="J126" s="209" t="s">
        <v>482</v>
      </c>
      <c r="K126" s="209" t="s">
        <v>1096</v>
      </c>
      <c r="L126" s="203"/>
    </row>
    <row r="127" s="202" customFormat="1" ht="30" customHeight="1">
      <c r="A127" s="203"/>
      <c r="B127" s="209" t="s">
        <v>1097</v>
      </c>
      <c r="C127" s="209" t="s">
        <v>1098</v>
      </c>
      <c r="D127" s="209" t="s">
        <v>1099</v>
      </c>
      <c r="E127" s="209" t="s">
        <v>482</v>
      </c>
      <c r="F127" s="209" t="s">
        <v>1100</v>
      </c>
      <c r="G127" s="209" t="s">
        <v>482</v>
      </c>
      <c r="H127" s="209" t="s">
        <v>1101</v>
      </c>
      <c r="I127" s="209" t="s">
        <v>1102</v>
      </c>
      <c r="J127" s="209" t="s">
        <v>482</v>
      </c>
      <c r="K127" s="209" t="s">
        <v>1103</v>
      </c>
      <c r="L127" s="203"/>
    </row>
    <row r="128" s="202" customFormat="1" ht="30" customHeight="1">
      <c r="A128" s="203"/>
      <c r="B128" s="209" t="s">
        <v>1104</v>
      </c>
      <c r="C128" s="209" t="s">
        <v>1105</v>
      </c>
      <c r="D128" s="209" t="s">
        <v>1105</v>
      </c>
      <c r="E128" s="209" t="s">
        <v>482</v>
      </c>
      <c r="F128" s="209" t="s">
        <v>482</v>
      </c>
      <c r="G128" s="209" t="s">
        <v>482</v>
      </c>
      <c r="H128" s="209" t="s">
        <v>1106</v>
      </c>
      <c r="I128" s="209" t="s">
        <v>1107</v>
      </c>
      <c r="J128" s="209" t="s">
        <v>1108</v>
      </c>
      <c r="K128" s="209" t="s">
        <v>1109</v>
      </c>
      <c r="L128" s="203"/>
    </row>
    <row r="129" s="202" customFormat="1" ht="30" customHeight="1">
      <c r="A129" s="203"/>
      <c r="B129" s="209" t="s">
        <v>463</v>
      </c>
      <c r="C129" s="209" t="s">
        <v>1110</v>
      </c>
      <c r="D129" s="209" t="s">
        <v>1110</v>
      </c>
      <c r="E129" s="209" t="s">
        <v>482</v>
      </c>
      <c r="F129" s="209" t="s">
        <v>482</v>
      </c>
      <c r="G129" s="209" t="s">
        <v>482</v>
      </c>
      <c r="H129" s="209" t="s">
        <v>1111</v>
      </c>
      <c r="I129" s="209" t="s">
        <v>1111</v>
      </c>
      <c r="J129" s="209" t="s">
        <v>482</v>
      </c>
      <c r="K129" s="209" t="s">
        <v>482</v>
      </c>
      <c r="L129" s="203"/>
    </row>
    <row r="130" s="202" customFormat="1" ht="30" customHeight="1">
      <c r="A130" s="203"/>
      <c r="B130" s="209" t="s">
        <v>220</v>
      </c>
      <c r="C130" s="209" t="s">
        <v>1112</v>
      </c>
      <c r="D130" s="209" t="s">
        <v>1112</v>
      </c>
      <c r="E130" s="209" t="s">
        <v>482</v>
      </c>
      <c r="F130" s="209" t="s">
        <v>482</v>
      </c>
      <c r="G130" s="209" t="s">
        <v>482</v>
      </c>
      <c r="H130" s="209" t="s">
        <v>1113</v>
      </c>
      <c r="I130" s="209" t="s">
        <v>1114</v>
      </c>
      <c r="J130" s="209" t="s">
        <v>482</v>
      </c>
      <c r="K130" s="209" t="s">
        <v>1115</v>
      </c>
      <c r="L130" s="203"/>
    </row>
    <row r="131" s="202" customFormat="1" ht="30" customHeight="1">
      <c r="A131" s="203"/>
      <c r="B131" s="209" t="s">
        <v>1116</v>
      </c>
      <c r="C131" s="209" t="s">
        <v>1117</v>
      </c>
      <c r="D131" s="209" t="s">
        <v>1117</v>
      </c>
      <c r="E131" s="209" t="s">
        <v>482</v>
      </c>
      <c r="F131" s="209" t="s">
        <v>482</v>
      </c>
      <c r="G131" s="209" t="s">
        <v>482</v>
      </c>
      <c r="H131" s="209" t="s">
        <v>1118</v>
      </c>
      <c r="I131" s="209" t="s">
        <v>1119</v>
      </c>
      <c r="J131" s="209" t="s">
        <v>482</v>
      </c>
      <c r="K131" s="209" t="s">
        <v>482</v>
      </c>
      <c r="L131" s="203"/>
    </row>
    <row r="132" s="202" customFormat="1" ht="30" customHeight="1">
      <c r="A132" s="203"/>
      <c r="B132" s="209" t="s">
        <v>469</v>
      </c>
      <c r="C132" s="209" t="s">
        <v>1120</v>
      </c>
      <c r="D132" s="209" t="s">
        <v>1121</v>
      </c>
      <c r="E132" s="209" t="s">
        <v>1122</v>
      </c>
      <c r="F132" s="209" t="s">
        <v>1123</v>
      </c>
      <c r="G132" s="209" t="s">
        <v>1124</v>
      </c>
      <c r="H132" s="209" t="s">
        <v>1125</v>
      </c>
      <c r="I132" s="209" t="s">
        <v>1126</v>
      </c>
      <c r="J132" s="209" t="s">
        <v>1127</v>
      </c>
      <c r="K132" s="209" t="s">
        <v>1128</v>
      </c>
      <c r="L132" s="203"/>
    </row>
  </sheetData>
  <mergeCells count="4">
    <mergeCell ref="B2:K2"/>
    <mergeCell ref="C4:G4"/>
    <mergeCell ref="H4:K4"/>
    <mergeCell ref="B4:B5"/>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8">
    <outlinePr applyStyles="0" summaryBelow="1" summaryRight="1" showOutlineSymbols="1"/>
    <pageSetUpPr autoPageBreaks="1" fitToPage="0"/>
  </sheetPr>
  <sheetViews>
    <sheetView zoomScale="100" workbookViewId="0">
      <selection activeCell="BC15" activeCellId="0" sqref="BC15"/>
    </sheetView>
  </sheetViews>
  <sheetFormatPr defaultColWidth="9" defaultRowHeight="13.5"/>
  <cols>
    <col min="2" max="2" style="5" width="9"/>
    <col min="4" max="5" style="135" width="9"/>
    <col customWidth="1" min="6" max="6" width="10"/>
    <col min="10" max="10" style="135" width="9"/>
    <col min="12" max="12" style="210" width="9"/>
    <col customWidth="1" min="14" max="14" width="11.125"/>
    <col customWidth="1" min="15" max="15" style="134" width="9.875"/>
  </cols>
  <sheetData>
    <row r="1" ht="14.25">
      <c r="A1" s="211" t="s">
        <v>0</v>
      </c>
      <c r="B1" s="212"/>
      <c r="C1" s="213"/>
      <c r="D1" s="213"/>
      <c r="E1" s="213"/>
      <c r="F1" s="213"/>
      <c r="G1" s="213"/>
      <c r="H1" s="84"/>
      <c r="I1" s="84"/>
      <c r="J1" s="213"/>
      <c r="K1" s="213"/>
      <c r="L1" s="214"/>
      <c r="M1" s="213"/>
      <c r="N1" s="215"/>
      <c r="O1" s="216"/>
      <c r="P1" s="84"/>
    </row>
    <row r="2" ht="48" customHeight="1">
      <c r="A2" s="217" t="s">
        <v>1129</v>
      </c>
      <c r="B2" s="218"/>
      <c r="C2" s="217"/>
      <c r="D2" s="217"/>
      <c r="E2" s="217"/>
      <c r="F2" s="217"/>
      <c r="G2" s="217"/>
      <c r="H2" s="217"/>
      <c r="I2" s="217"/>
      <c r="J2" s="217"/>
      <c r="K2" s="217"/>
      <c r="L2" s="217"/>
      <c r="M2" s="217"/>
      <c r="N2" s="217"/>
      <c r="O2" s="219"/>
      <c r="P2" s="220"/>
    </row>
    <row r="3" ht="57">
      <c r="A3" s="221" t="s">
        <v>3</v>
      </c>
      <c r="B3" s="222" t="s">
        <v>4</v>
      </c>
      <c r="C3" s="223" t="s">
        <v>1130</v>
      </c>
      <c r="D3" s="224" t="s">
        <v>1131</v>
      </c>
      <c r="E3" s="224" t="s">
        <v>1132</v>
      </c>
      <c r="F3" s="225" t="s">
        <v>1133</v>
      </c>
      <c r="G3" s="224" t="s">
        <v>1134</v>
      </c>
      <c r="H3" s="224" t="s">
        <v>1135</v>
      </c>
      <c r="I3" s="226" t="s">
        <v>1133</v>
      </c>
      <c r="J3" s="224" t="s">
        <v>1136</v>
      </c>
      <c r="K3" s="226" t="s">
        <v>1137</v>
      </c>
      <c r="L3" s="227" t="s">
        <v>1138</v>
      </c>
      <c r="M3" s="226" t="s">
        <v>1139</v>
      </c>
      <c r="N3" s="225" t="s">
        <v>439</v>
      </c>
    </row>
    <row r="4">
      <c r="A4" s="228"/>
      <c r="B4" s="229" t="s">
        <v>451</v>
      </c>
      <c r="C4" s="230"/>
      <c r="D4" s="231"/>
      <c r="E4" s="231"/>
      <c r="F4" s="232"/>
      <c r="G4" s="231"/>
      <c r="H4" s="231"/>
      <c r="I4" s="232"/>
      <c r="J4" s="231"/>
      <c r="K4" s="232"/>
      <c r="L4" s="233"/>
      <c r="M4" s="232"/>
      <c r="N4" s="234"/>
    </row>
    <row r="5">
      <c r="A5" s="235">
        <v>1</v>
      </c>
      <c r="B5" s="236" t="s">
        <v>57</v>
      </c>
      <c r="C5" s="237" t="s">
        <v>78</v>
      </c>
      <c r="D5" s="238" t="e">
        <f>VLOOKUP(B5,[2]项目库建设情况统计表!$C:$M,2,0)</f>
        <v>#N/A</v>
      </c>
      <c r="E5" s="238">
        <v>9</v>
      </c>
      <c r="F5" s="239" t="e">
        <f t="shared" ref="F5:F18" si="1136">IF((E5-D5)&gt;0,1*E5/$E$149,0)</f>
        <v>#N/A</v>
      </c>
      <c r="G5" s="238" t="e">
        <f>VLOOKUP(B5,[2]项目库建设情况统计表!$C:$M,3,0)</f>
        <v>#N/A</v>
      </c>
      <c r="H5" s="238">
        <v>392.89999999999998</v>
      </c>
      <c r="I5" s="239" t="e">
        <f t="shared" ref="I5:I18" si="1137">IF((H5-G5)&gt;0,1*H5/$H$149,0)</f>
        <v>#N/A</v>
      </c>
      <c r="J5" s="240">
        <v>5</v>
      </c>
      <c r="K5" s="239">
        <f t="shared" ref="K5:K18" si="1138">J5/$J$149</f>
        <v>1.24781632143748e-003</v>
      </c>
      <c r="L5" s="241">
        <v>0.56000000000000005</v>
      </c>
      <c r="M5" s="239">
        <f t="shared" ref="M5:M18" si="1139">IF(L5&gt;=50%,1*L5,0)</f>
        <v>0.56000000000000005</v>
      </c>
      <c r="N5" s="242" t="e">
        <f t="shared" ref="N5:N18" si="1140">(F5*0.25+I5*0.25-K5*0.25+M5*0.25)*10000</f>
        <v>#N/A</v>
      </c>
      <c r="O5" s="134" t="e">
        <f t="shared" ref="O5:O18" si="1141">IF(N5&gt;0,1*N5,0)</f>
        <v>#N/A</v>
      </c>
    </row>
    <row r="6">
      <c r="A6" s="235">
        <v>2</v>
      </c>
      <c r="B6" s="243" t="s">
        <v>59</v>
      </c>
      <c r="C6" s="237" t="s">
        <v>78</v>
      </c>
      <c r="D6" s="238" t="e">
        <f>VLOOKUP(B6,'[2]项目库建设情况统计表'!$C:$M,2,0)</f>
        <v>#N/A</v>
      </c>
      <c r="E6" s="238">
        <v>10</v>
      </c>
      <c r="F6" s="239" t="e">
        <f t="shared" si="1136"/>
        <v>#N/A</v>
      </c>
      <c r="G6" s="238" t="e">
        <f>VLOOKUP(B6,'[2]项目库建设情况统计表'!$C:$M,3,0)</f>
        <v>#N/A</v>
      </c>
      <c r="H6" s="238">
        <v>5842.04</v>
      </c>
      <c r="I6" s="239" t="e">
        <f t="shared" si="1137"/>
        <v>#N/A</v>
      </c>
      <c r="J6" s="240">
        <v>9</v>
      </c>
      <c r="K6" s="239">
        <f t="shared" si="1138"/>
        <v>2.2460693785874698e-003</v>
      </c>
      <c r="L6" s="241">
        <v>0.88</v>
      </c>
      <c r="M6" s="239">
        <f t="shared" si="1139"/>
        <v>0.88</v>
      </c>
      <c r="N6" s="242" t="e">
        <f t="shared" si="1140"/>
        <v>#N/A</v>
      </c>
      <c r="O6" s="134" t="e">
        <f t="shared" si="1141"/>
        <v>#N/A</v>
      </c>
    </row>
    <row r="7">
      <c r="A7" s="235">
        <v>3</v>
      </c>
      <c r="B7" s="236" t="s">
        <v>61</v>
      </c>
      <c r="C7" s="237" t="s">
        <v>78</v>
      </c>
      <c r="D7" s="238" t="e">
        <f>VLOOKUP(B7,'[2]项目库建设情况统计表'!$C:$M,2,0)</f>
        <v>#N/A</v>
      </c>
      <c r="E7" s="238">
        <v>2</v>
      </c>
      <c r="F7" s="239" t="e">
        <f t="shared" si="1136"/>
        <v>#N/A</v>
      </c>
      <c r="G7" s="238" t="e">
        <f>VLOOKUP(B7,'[2]项目库建设情况统计表'!$C:$M,3,0)</f>
        <v>#N/A</v>
      </c>
      <c r="H7" s="238">
        <v>260</v>
      </c>
      <c r="I7" s="239" t="e">
        <f t="shared" si="1137"/>
        <v>#N/A</v>
      </c>
      <c r="J7" s="240">
        <v>1</v>
      </c>
      <c r="K7" s="239">
        <f t="shared" si="1138"/>
        <v>2.4956326428749701e-004</v>
      </c>
      <c r="L7" s="241">
        <v>1</v>
      </c>
      <c r="M7" s="239">
        <f t="shared" si="1139"/>
        <v>1</v>
      </c>
      <c r="N7" s="242" t="e">
        <f t="shared" si="1140"/>
        <v>#N/A</v>
      </c>
      <c r="O7" s="134" t="e">
        <f t="shared" si="1141"/>
        <v>#N/A</v>
      </c>
    </row>
    <row r="8">
      <c r="A8" s="235">
        <v>4</v>
      </c>
      <c r="B8" s="236" t="s">
        <v>63</v>
      </c>
      <c r="C8" s="237" t="s">
        <v>78</v>
      </c>
      <c r="D8" s="238" t="e">
        <f>VLOOKUP(B8,'[2]项目库建设情况统计表'!$C:$M,2,0)</f>
        <v>#N/A</v>
      </c>
      <c r="E8" s="238">
        <v>2</v>
      </c>
      <c r="F8" s="239" t="e">
        <f t="shared" si="1136"/>
        <v>#N/A</v>
      </c>
      <c r="G8" s="238" t="e">
        <f>VLOOKUP(B8,'[2]项目库建设情况统计表'!$C:$M,3,0)</f>
        <v>#N/A</v>
      </c>
      <c r="H8" s="238">
        <v>260</v>
      </c>
      <c r="I8" s="239" t="e">
        <f t="shared" si="1137"/>
        <v>#N/A</v>
      </c>
      <c r="J8" s="240"/>
      <c r="K8" s="239">
        <f t="shared" si="1138"/>
        <v>0</v>
      </c>
      <c r="L8" s="241">
        <v>1</v>
      </c>
      <c r="M8" s="239">
        <f t="shared" si="1139"/>
        <v>1</v>
      </c>
      <c r="N8" s="242" t="e">
        <f t="shared" si="1140"/>
        <v>#N/A</v>
      </c>
      <c r="O8" s="134" t="e">
        <f t="shared" si="1141"/>
        <v>#N/A</v>
      </c>
    </row>
    <row r="9">
      <c r="A9" s="235">
        <v>5</v>
      </c>
      <c r="B9" s="243" t="s">
        <v>65</v>
      </c>
      <c r="C9" s="237" t="s">
        <v>93</v>
      </c>
      <c r="D9" s="238" t="e">
        <f>VLOOKUP(B9,'[2]项目库建设情况统计表'!$C:$M,2,0)</f>
        <v>#N/A</v>
      </c>
      <c r="E9" s="238">
        <v>84</v>
      </c>
      <c r="F9" s="239" t="e">
        <f t="shared" si="1136"/>
        <v>#N/A</v>
      </c>
      <c r="G9" s="238" t="e">
        <f>VLOOKUP(B9,'[2]项目库建设情况统计表'!$C:$M,3,0)</f>
        <v>#N/A</v>
      </c>
      <c r="H9" s="238">
        <v>71165.050000000003</v>
      </c>
      <c r="I9" s="239" t="e">
        <f t="shared" si="1137"/>
        <v>#N/A</v>
      </c>
      <c r="J9" s="240"/>
      <c r="K9" s="239">
        <f t="shared" si="1138"/>
        <v>0</v>
      </c>
      <c r="L9" s="241">
        <v>0.80000000000000004</v>
      </c>
      <c r="M9" s="239">
        <f t="shared" si="1139"/>
        <v>0.80000000000000004</v>
      </c>
      <c r="N9" s="242" t="e">
        <f t="shared" si="1140"/>
        <v>#N/A</v>
      </c>
      <c r="O9" s="134" t="e">
        <f t="shared" si="1141"/>
        <v>#N/A</v>
      </c>
    </row>
    <row r="10">
      <c r="A10" s="235">
        <v>6</v>
      </c>
      <c r="B10" s="236" t="s">
        <v>67</v>
      </c>
      <c r="C10" s="237" t="s">
        <v>78</v>
      </c>
      <c r="D10" s="238" t="e">
        <f>VLOOKUP(B10,[2]项目库建设情况统计表!$C:$M,2,0)</f>
        <v>#N/A</v>
      </c>
      <c r="E10" s="238">
        <v>3</v>
      </c>
      <c r="F10" s="239" t="e">
        <f t="shared" si="1136"/>
        <v>#N/A</v>
      </c>
      <c r="G10" s="238" t="e">
        <f>VLOOKUP(B10,[2]项目库建设情况统计表!$C:$M,3,0)</f>
        <v>#N/A</v>
      </c>
      <c r="H10" s="238">
        <v>580.60599999999999</v>
      </c>
      <c r="I10" s="239" t="e">
        <f t="shared" si="1137"/>
        <v>#N/A</v>
      </c>
      <c r="J10" s="240"/>
      <c r="K10" s="239">
        <f t="shared" si="1138"/>
        <v>0</v>
      </c>
      <c r="L10" s="241">
        <v>0.67000000000000004</v>
      </c>
      <c r="M10" s="239">
        <f t="shared" si="1139"/>
        <v>0.67000000000000004</v>
      </c>
      <c r="N10" s="242" t="e">
        <f t="shared" si="1140"/>
        <v>#N/A</v>
      </c>
      <c r="O10" s="134" t="e">
        <f t="shared" si="1141"/>
        <v>#N/A</v>
      </c>
    </row>
    <row r="11">
      <c r="A11" s="235">
        <v>7</v>
      </c>
      <c r="B11" s="243" t="s">
        <v>69</v>
      </c>
      <c r="C11" s="237" t="s">
        <v>78</v>
      </c>
      <c r="D11" s="238" t="e">
        <f>VLOOKUP(B11,'[2]项目库建设情况统计表'!$C:$M,2,0)</f>
        <v>#N/A</v>
      </c>
      <c r="E11" s="238">
        <v>42</v>
      </c>
      <c r="F11" s="239" t="e">
        <f t="shared" si="1136"/>
        <v>#N/A</v>
      </c>
      <c r="G11" s="238" t="e">
        <f>VLOOKUP(B11,'[2]项目库建设情况统计表'!$C:$M,3,0)</f>
        <v>#N/A</v>
      </c>
      <c r="H11" s="238">
        <v>8994</v>
      </c>
      <c r="I11" s="239" t="e">
        <f t="shared" si="1137"/>
        <v>#N/A</v>
      </c>
      <c r="J11" s="240">
        <v>32</v>
      </c>
      <c r="K11" s="239">
        <f t="shared" si="1138"/>
        <v>7.9860244571999008e-003</v>
      </c>
      <c r="L11" s="241">
        <v>0.80000000000000004</v>
      </c>
      <c r="M11" s="239">
        <f t="shared" si="1139"/>
        <v>0.80000000000000004</v>
      </c>
      <c r="N11" s="242" t="e">
        <f t="shared" si="1140"/>
        <v>#N/A</v>
      </c>
      <c r="O11" s="134" t="e">
        <f t="shared" si="1141"/>
        <v>#N/A</v>
      </c>
    </row>
    <row r="12">
      <c r="A12" s="244">
        <v>8</v>
      </c>
      <c r="B12" s="243" t="s">
        <v>71</v>
      </c>
      <c r="C12" s="237" t="s">
        <v>78</v>
      </c>
      <c r="D12" s="238" t="e">
        <f>VLOOKUP(B12,'[2]项目库建设情况统计表'!$C:$M,2,0)</f>
        <v>#N/A</v>
      </c>
      <c r="E12" s="238">
        <v>17</v>
      </c>
      <c r="F12" s="239" t="e">
        <f t="shared" si="1136"/>
        <v>#N/A</v>
      </c>
      <c r="G12" s="238" t="e">
        <f>VLOOKUP(B12,'[2]项目库建设情况统计表'!$C:$M,3,0)</f>
        <v>#N/A</v>
      </c>
      <c r="H12" s="238">
        <v>5427.6999999999998</v>
      </c>
      <c r="I12" s="239" t="e">
        <f t="shared" si="1137"/>
        <v>#N/A</v>
      </c>
      <c r="J12" s="240">
        <v>1</v>
      </c>
      <c r="K12" s="239">
        <f t="shared" si="1138"/>
        <v>2.4956326428749701e-004</v>
      </c>
      <c r="L12" s="241">
        <v>1</v>
      </c>
      <c r="M12" s="239">
        <f t="shared" si="1139"/>
        <v>1</v>
      </c>
      <c r="N12" s="242" t="e">
        <f t="shared" si="1140"/>
        <v>#N/A</v>
      </c>
      <c r="O12" s="134" t="e">
        <f t="shared" si="1141"/>
        <v>#N/A</v>
      </c>
    </row>
    <row r="13">
      <c r="A13" s="235">
        <v>9</v>
      </c>
      <c r="B13" s="243" t="s">
        <v>73</v>
      </c>
      <c r="C13" s="237" t="s">
        <v>78</v>
      </c>
      <c r="D13" s="238" t="e">
        <f>VLOOKUP(B13,'[2]项目库建设情况统计表'!$C:$M,2,0)</f>
        <v>#N/A</v>
      </c>
      <c r="E13" s="238">
        <v>104</v>
      </c>
      <c r="F13" s="239" t="e">
        <f t="shared" si="1136"/>
        <v>#N/A</v>
      </c>
      <c r="G13" s="238" t="e">
        <f>VLOOKUP(B13,'[2]项目库建设情况统计表'!$C:$M,3,0)</f>
        <v>#N/A</v>
      </c>
      <c r="H13" s="238">
        <v>38451.779999999999</v>
      </c>
      <c r="I13" s="239" t="e">
        <f t="shared" si="1137"/>
        <v>#N/A</v>
      </c>
      <c r="J13" s="240">
        <v>35</v>
      </c>
      <c r="K13" s="239">
        <f t="shared" si="1138"/>
        <v>8.7347142500623903e-003</v>
      </c>
      <c r="L13" s="241">
        <v>0.40000000000000002</v>
      </c>
      <c r="M13" s="239">
        <f t="shared" si="1139"/>
        <v>0</v>
      </c>
      <c r="N13" s="242" t="e">
        <f t="shared" si="1140"/>
        <v>#N/A</v>
      </c>
      <c r="O13" s="134" t="e">
        <f t="shared" si="1141"/>
        <v>#N/A</v>
      </c>
    </row>
    <row r="14">
      <c r="A14" s="235">
        <v>10</v>
      </c>
      <c r="B14" s="243" t="s">
        <v>75</v>
      </c>
      <c r="C14" s="237" t="s">
        <v>78</v>
      </c>
      <c r="D14" s="238" t="e">
        <f>VLOOKUP(B14,'[2]项目库建设情况统计表'!$C:$M,2,0)</f>
        <v>#N/A</v>
      </c>
      <c r="E14" s="238">
        <v>82</v>
      </c>
      <c r="F14" s="239" t="e">
        <f t="shared" si="1136"/>
        <v>#N/A</v>
      </c>
      <c r="G14" s="238" t="e">
        <f>VLOOKUP(B14,'[2]项目库建设情况统计表'!$C:$M,3,0)</f>
        <v>#N/A</v>
      </c>
      <c r="H14" s="238">
        <v>8741.6000000000004</v>
      </c>
      <c r="I14" s="239" t="e">
        <f t="shared" si="1137"/>
        <v>#N/A</v>
      </c>
      <c r="J14" s="240">
        <v>18</v>
      </c>
      <c r="K14" s="239">
        <f t="shared" si="1138"/>
        <v>4.4921387571749396e-003</v>
      </c>
      <c r="L14" s="241">
        <v>0.48999999999999999</v>
      </c>
      <c r="M14" s="239">
        <f t="shared" si="1139"/>
        <v>0</v>
      </c>
      <c r="N14" s="242" t="e">
        <f t="shared" si="1140"/>
        <v>#N/A</v>
      </c>
      <c r="O14" s="134" t="e">
        <f t="shared" si="1141"/>
        <v>#N/A</v>
      </c>
    </row>
    <row r="15">
      <c r="A15" s="235">
        <v>11</v>
      </c>
      <c r="B15" s="243" t="s">
        <v>77</v>
      </c>
      <c r="C15" s="237" t="s">
        <v>78</v>
      </c>
      <c r="D15" s="238" t="e">
        <f>VLOOKUP(B15,'[2]项目库建设情况统计表'!$C:$M,2,0)</f>
        <v>#N/A</v>
      </c>
      <c r="E15" s="238">
        <v>57</v>
      </c>
      <c r="F15" s="239" t="e">
        <f t="shared" si="1136"/>
        <v>#N/A</v>
      </c>
      <c r="G15" s="238" t="e">
        <f>VLOOKUP(B15,'[2]项目库建设情况统计表'!$C:$M,3,0)</f>
        <v>#N/A</v>
      </c>
      <c r="H15" s="238">
        <v>20949.649399999998</v>
      </c>
      <c r="I15" s="239" t="e">
        <f t="shared" si="1137"/>
        <v>#N/A</v>
      </c>
      <c r="J15" s="240">
        <v>6</v>
      </c>
      <c r="K15" s="239">
        <f t="shared" si="1138"/>
        <v>1.4973795857249801e-003</v>
      </c>
      <c r="L15" s="241">
        <v>0.14999999999999999</v>
      </c>
      <c r="M15" s="239">
        <f t="shared" si="1139"/>
        <v>0</v>
      </c>
      <c r="N15" s="242" t="e">
        <f t="shared" si="1140"/>
        <v>#N/A</v>
      </c>
      <c r="O15" s="134" t="e">
        <f t="shared" si="1141"/>
        <v>#N/A</v>
      </c>
    </row>
    <row r="16">
      <c r="A16" s="235">
        <v>12</v>
      </c>
      <c r="B16" s="243" t="s">
        <v>79</v>
      </c>
      <c r="C16" s="237" t="s">
        <v>90</v>
      </c>
      <c r="D16" s="238" t="e">
        <f>VLOOKUP(B16,'[2]项目库建设情况统计表'!$C:$M,2,0)</f>
        <v>#N/A</v>
      </c>
      <c r="E16" s="238">
        <v>70</v>
      </c>
      <c r="F16" s="239" t="e">
        <f t="shared" si="1136"/>
        <v>#N/A</v>
      </c>
      <c r="G16" s="238" t="e">
        <f>VLOOKUP(B16,'[2]项目库建设情况统计表'!$C:$M,3,0)</f>
        <v>#N/A</v>
      </c>
      <c r="H16" s="238">
        <v>55789.580000000002</v>
      </c>
      <c r="I16" s="239" t="e">
        <f t="shared" si="1137"/>
        <v>#N/A</v>
      </c>
      <c r="J16" s="240">
        <v>34</v>
      </c>
      <c r="K16" s="239">
        <f t="shared" si="1138"/>
        <v>8.4851509857748909e-003</v>
      </c>
      <c r="L16" s="241">
        <v>0.51000000000000001</v>
      </c>
      <c r="M16" s="239">
        <f t="shared" si="1139"/>
        <v>0.51000000000000001</v>
      </c>
      <c r="N16" s="242" t="e">
        <f t="shared" si="1140"/>
        <v>#N/A</v>
      </c>
      <c r="O16" s="134" t="e">
        <f t="shared" si="1141"/>
        <v>#N/A</v>
      </c>
    </row>
    <row r="17">
      <c r="A17" s="235">
        <v>13</v>
      </c>
      <c r="B17" s="243" t="s">
        <v>80</v>
      </c>
      <c r="C17" s="237" t="s">
        <v>90</v>
      </c>
      <c r="D17" s="238" t="e">
        <f>VLOOKUP(B17,'[2]项目库建设情况统计表'!$C:$M,2,0)</f>
        <v>#N/A</v>
      </c>
      <c r="E17" s="238">
        <v>169</v>
      </c>
      <c r="F17" s="239" t="e">
        <f t="shared" si="1136"/>
        <v>#N/A</v>
      </c>
      <c r="G17" s="238" t="e">
        <f>VLOOKUP(B17,'[2]项目库建设情况统计表'!$C:$M,3,0)</f>
        <v>#N/A</v>
      </c>
      <c r="H17" s="238">
        <v>41769.735200000003</v>
      </c>
      <c r="I17" s="239" t="e">
        <f t="shared" si="1137"/>
        <v>#N/A</v>
      </c>
      <c r="J17" s="240">
        <v>40</v>
      </c>
      <c r="K17" s="239">
        <f t="shared" si="1138"/>
        <v>9.9825305714998803e-003</v>
      </c>
      <c r="L17" s="241">
        <v>0.34000000000000002</v>
      </c>
      <c r="M17" s="239">
        <f t="shared" si="1139"/>
        <v>0</v>
      </c>
      <c r="N17" s="242" t="e">
        <f t="shared" ref="N17:N80" si="1142">(F17*0.25+I17*0.25-K17*0.25+M17*0.25)*10000</f>
        <v>#N/A</v>
      </c>
      <c r="O17" s="134" t="e">
        <f t="shared" si="1141"/>
        <v>#N/A</v>
      </c>
    </row>
    <row r="18">
      <c r="A18" s="235">
        <v>14</v>
      </c>
      <c r="B18" s="236" t="s">
        <v>81</v>
      </c>
      <c r="C18" s="237" t="s">
        <v>78</v>
      </c>
      <c r="D18" s="238" t="e">
        <f>VLOOKUP(B18,'[2]项目库建设情况统计表'!$C:$M,2,0)</f>
        <v>#N/A</v>
      </c>
      <c r="E18" s="238">
        <v>5</v>
      </c>
      <c r="F18" s="239" t="e">
        <f t="shared" si="1136"/>
        <v>#N/A</v>
      </c>
      <c r="G18" s="238" t="e">
        <f>VLOOKUP(B18,'[2]项目库建设情况统计表'!$C:$M,3,0)</f>
        <v>#N/A</v>
      </c>
      <c r="H18" s="238">
        <v>530</v>
      </c>
      <c r="I18" s="239" t="e">
        <f t="shared" si="1137"/>
        <v>#N/A</v>
      </c>
      <c r="J18" s="240"/>
      <c r="K18" s="239">
        <f t="shared" si="1138"/>
        <v>0</v>
      </c>
      <c r="L18" s="241">
        <v>1</v>
      </c>
      <c r="M18" s="239">
        <f t="shared" si="1139"/>
        <v>1</v>
      </c>
      <c r="N18" s="242" t="e">
        <f t="shared" si="1140"/>
        <v>#N/A</v>
      </c>
      <c r="O18" s="134" t="e">
        <f t="shared" si="1141"/>
        <v>#N/A</v>
      </c>
    </row>
    <row r="19">
      <c r="A19" s="228"/>
      <c r="B19" s="229" t="s">
        <v>457</v>
      </c>
      <c r="C19" s="230"/>
      <c r="D19" s="231"/>
      <c r="E19" s="231"/>
      <c r="F19" s="232"/>
      <c r="G19" s="231"/>
      <c r="H19" s="231"/>
      <c r="I19" s="232"/>
      <c r="J19" s="231"/>
      <c r="K19" s="232"/>
      <c r="L19" s="233"/>
      <c r="M19" s="232"/>
      <c r="N19" s="234"/>
    </row>
    <row r="20">
      <c r="A20" s="235">
        <v>15</v>
      </c>
      <c r="B20" s="243" t="s">
        <v>84</v>
      </c>
      <c r="C20" s="237" t="s">
        <v>93</v>
      </c>
      <c r="D20" s="238" t="e">
        <f>VLOOKUP(B20,'[2]项目库建设情况统计表'!$C:$M,2,0)</f>
        <v>#N/A</v>
      </c>
      <c r="E20" s="238">
        <v>40</v>
      </c>
      <c r="F20" s="239" t="e">
        <f t="shared" ref="F20:F83" si="1143">IF((E20-D20)&gt;0,1*E20/$E$149,0)</f>
        <v>#N/A</v>
      </c>
      <c r="G20" s="238" t="e">
        <f>VLOOKUP(B20,'[2]项目库建设情况统计表'!$C:$M,3,0)</f>
        <v>#N/A</v>
      </c>
      <c r="H20" s="238">
        <v>72477.100000000006</v>
      </c>
      <c r="I20" s="239" t="e">
        <f t="shared" ref="I20:I83" si="1144">IF((H20-G20)&gt;0,1*H20/$H$149,0)</f>
        <v>#N/A</v>
      </c>
      <c r="J20" s="240">
        <v>4</v>
      </c>
      <c r="K20" s="239">
        <f t="shared" ref="K20:K83" si="1145">J20/$J$149</f>
        <v>9.9825305714998803e-004</v>
      </c>
      <c r="L20" s="241">
        <v>0.90000000000000002</v>
      </c>
      <c r="M20" s="239">
        <f t="shared" ref="M20:M83" si="1146">IF(L20&gt;=50%,1*L20,0)</f>
        <v>0.90000000000000002</v>
      </c>
      <c r="N20" s="242" t="e">
        <f t="shared" si="1142"/>
        <v>#N/A</v>
      </c>
      <c r="O20" s="134" t="e">
        <f t="shared" ref="O20:O83" si="1147">IF(N20&gt;0,1*N20,0)</f>
        <v>#N/A</v>
      </c>
    </row>
    <row r="21">
      <c r="A21" s="235">
        <v>16</v>
      </c>
      <c r="B21" s="243" t="s">
        <v>85</v>
      </c>
      <c r="C21" s="237" t="s">
        <v>93</v>
      </c>
      <c r="D21" s="238" t="e">
        <f>VLOOKUP(B21,'[2]项目库建设情况统计表'!$C:$M,2,0)</f>
        <v>#N/A</v>
      </c>
      <c r="E21" s="238">
        <v>112</v>
      </c>
      <c r="F21" s="239" t="e">
        <f t="shared" si="1143"/>
        <v>#N/A</v>
      </c>
      <c r="G21" s="238" t="e">
        <f>VLOOKUP(B21,'[2]项目库建设情况统计表'!$C:$M,3,0)</f>
        <v>#N/A</v>
      </c>
      <c r="H21" s="238">
        <v>114495.24000000001</v>
      </c>
      <c r="I21" s="239" t="e">
        <f t="shared" si="1144"/>
        <v>#N/A</v>
      </c>
      <c r="J21" s="240">
        <v>4</v>
      </c>
      <c r="K21" s="239">
        <f t="shared" si="1145"/>
        <v>9.9825305714998803e-004</v>
      </c>
      <c r="L21" s="241">
        <v>8.9999999999999997e-002</v>
      </c>
      <c r="M21" s="239">
        <f t="shared" si="1146"/>
        <v>0</v>
      </c>
      <c r="N21" s="242" t="e">
        <f t="shared" si="1142"/>
        <v>#N/A</v>
      </c>
      <c r="O21" s="134" t="e">
        <f t="shared" si="1147"/>
        <v>#N/A</v>
      </c>
    </row>
    <row r="22">
      <c r="A22" s="235">
        <v>17</v>
      </c>
      <c r="B22" s="243" t="s">
        <v>86</v>
      </c>
      <c r="C22" s="237" t="s">
        <v>93</v>
      </c>
      <c r="D22" s="238" t="e">
        <f>VLOOKUP(B22,'[2]项目库建设情况统计表'!$C:$M,2,0)</f>
        <v>#N/A</v>
      </c>
      <c r="E22" s="238">
        <v>214</v>
      </c>
      <c r="F22" s="239" t="e">
        <f t="shared" si="1143"/>
        <v>#N/A</v>
      </c>
      <c r="G22" s="238" t="e">
        <f>VLOOKUP(B22,'[2]项目库建设情况统计表'!$C:$M,3,0)</f>
        <v>#N/A</v>
      </c>
      <c r="H22" s="238">
        <v>101044.63937800001</v>
      </c>
      <c r="I22" s="239" t="e">
        <f t="shared" si="1144"/>
        <v>#N/A</v>
      </c>
      <c r="J22" s="240">
        <v>18</v>
      </c>
      <c r="K22" s="239">
        <f t="shared" si="1145"/>
        <v>4.4921387571749396e-003</v>
      </c>
      <c r="L22" s="241">
        <v>0.19</v>
      </c>
      <c r="M22" s="239">
        <f t="shared" si="1146"/>
        <v>0</v>
      </c>
      <c r="N22" s="242" t="e">
        <f t="shared" si="1142"/>
        <v>#N/A</v>
      </c>
      <c r="O22" s="134" t="e">
        <f t="shared" si="1147"/>
        <v>#N/A</v>
      </c>
    </row>
    <row r="23">
      <c r="A23" s="235">
        <v>18</v>
      </c>
      <c r="B23" s="243" t="s">
        <v>87</v>
      </c>
      <c r="C23" s="237" t="s">
        <v>90</v>
      </c>
      <c r="D23" s="238" t="e">
        <f>VLOOKUP(B23,'[2]项目库建设情况统计表'!$C:$M,2,0)</f>
        <v>#N/A</v>
      </c>
      <c r="E23" s="238">
        <v>337</v>
      </c>
      <c r="F23" s="239" t="e">
        <f t="shared" si="1143"/>
        <v>#N/A</v>
      </c>
      <c r="G23" s="238" t="e">
        <f>VLOOKUP(B23,'[2]项目库建设情况统计表'!$C:$M,3,0)</f>
        <v>#N/A</v>
      </c>
      <c r="H23" s="238">
        <v>146052.01347999999</v>
      </c>
      <c r="I23" s="239" t="e">
        <f t="shared" si="1144"/>
        <v>#N/A</v>
      </c>
      <c r="J23" s="240">
        <v>227</v>
      </c>
      <c r="K23" s="239">
        <f t="shared" si="1145"/>
        <v>5.6650860993261803e-002</v>
      </c>
      <c r="L23" s="241">
        <v>0.77000000000000002</v>
      </c>
      <c r="M23" s="239">
        <f t="shared" si="1146"/>
        <v>0.77000000000000002</v>
      </c>
      <c r="N23" s="242" t="e">
        <f t="shared" si="1142"/>
        <v>#N/A</v>
      </c>
      <c r="O23" s="134" t="e">
        <f t="shared" si="1147"/>
        <v>#N/A</v>
      </c>
    </row>
    <row r="24">
      <c r="A24" s="235">
        <v>19</v>
      </c>
      <c r="B24" s="243" t="s">
        <v>88</v>
      </c>
      <c r="C24" s="237" t="s">
        <v>93</v>
      </c>
      <c r="D24" s="238" t="e">
        <f>VLOOKUP(B24,'[2]项目库建设情况统计表'!$C:$M,2,0)</f>
        <v>#N/A</v>
      </c>
      <c r="E24" s="238">
        <v>121</v>
      </c>
      <c r="F24" s="239" t="e">
        <f t="shared" si="1143"/>
        <v>#N/A</v>
      </c>
      <c r="G24" s="238" t="e">
        <f>VLOOKUP(B24,'[2]项目库建设情况统计表'!$C:$M,3,0)</f>
        <v>#N/A</v>
      </c>
      <c r="H24" s="238">
        <v>78690.190000000002</v>
      </c>
      <c r="I24" s="239" t="e">
        <f t="shared" si="1144"/>
        <v>#N/A</v>
      </c>
      <c r="J24" s="240"/>
      <c r="K24" s="239">
        <f t="shared" si="1145"/>
        <v>0</v>
      </c>
      <c r="L24" s="241">
        <v>1</v>
      </c>
      <c r="M24" s="239">
        <f t="shared" si="1146"/>
        <v>1</v>
      </c>
      <c r="N24" s="242" t="e">
        <f t="shared" si="1142"/>
        <v>#N/A</v>
      </c>
      <c r="O24" s="134" t="e">
        <f t="shared" si="1147"/>
        <v>#N/A</v>
      </c>
    </row>
    <row r="25">
      <c r="A25" s="235">
        <v>20</v>
      </c>
      <c r="B25" s="243" t="s">
        <v>89</v>
      </c>
      <c r="C25" s="237" t="s">
        <v>93</v>
      </c>
      <c r="D25" s="238" t="e">
        <f>VLOOKUP(B25,'[2]项目库建设情况统计表'!$C:$M,2,0)</f>
        <v>#N/A</v>
      </c>
      <c r="E25" s="238">
        <v>194</v>
      </c>
      <c r="F25" s="239" t="e">
        <f t="shared" si="1143"/>
        <v>#N/A</v>
      </c>
      <c r="G25" s="238" t="e">
        <f>VLOOKUP(B25,'[2]项目库建设情况统计表'!$C:$M,3,0)</f>
        <v>#N/A</v>
      </c>
      <c r="H25" s="238">
        <v>181739.56649999999</v>
      </c>
      <c r="I25" s="239" t="e">
        <f t="shared" si="1144"/>
        <v>#N/A</v>
      </c>
      <c r="J25" s="240">
        <v>2</v>
      </c>
      <c r="K25" s="239">
        <f t="shared" si="1145"/>
        <v>4.9912652857499401e-004</v>
      </c>
      <c r="L25" s="241">
        <v>0.17000000000000001</v>
      </c>
      <c r="M25" s="239">
        <f t="shared" si="1146"/>
        <v>0</v>
      </c>
      <c r="N25" s="242" t="e">
        <f t="shared" si="1142"/>
        <v>#N/A</v>
      </c>
      <c r="O25" s="134" t="e">
        <f t="shared" si="1147"/>
        <v>#N/A</v>
      </c>
    </row>
    <row r="26">
      <c r="A26" s="235">
        <v>21</v>
      </c>
      <c r="B26" s="243" t="s">
        <v>92</v>
      </c>
      <c r="C26" s="237" t="s">
        <v>90</v>
      </c>
      <c r="D26" s="238" t="e">
        <f>VLOOKUP(B26,'[2]项目库建设情况统计表'!$C:$M,2,0)</f>
        <v>#N/A</v>
      </c>
      <c r="E26" s="238">
        <v>20</v>
      </c>
      <c r="F26" s="239" t="e">
        <f t="shared" si="1143"/>
        <v>#N/A</v>
      </c>
      <c r="G26" s="238" t="e">
        <f>VLOOKUP(B26,'[2]项目库建设情况统计表'!$C:$M,3,0)</f>
        <v>#N/A</v>
      </c>
      <c r="H26" s="238">
        <v>11161.98</v>
      </c>
      <c r="I26" s="239" t="e">
        <f t="shared" si="1144"/>
        <v>#N/A</v>
      </c>
      <c r="J26" s="240">
        <v>4</v>
      </c>
      <c r="K26" s="239">
        <f t="shared" si="1145"/>
        <v>9.9825305714998803e-004</v>
      </c>
      <c r="L26" s="241">
        <v>0.63</v>
      </c>
      <c r="M26" s="239">
        <f t="shared" si="1146"/>
        <v>0.63</v>
      </c>
      <c r="N26" s="242" t="e">
        <f t="shared" si="1142"/>
        <v>#N/A</v>
      </c>
      <c r="O26" s="134" t="e">
        <f t="shared" si="1147"/>
        <v>#N/A</v>
      </c>
    </row>
    <row r="27">
      <c r="A27" s="235">
        <v>22</v>
      </c>
      <c r="B27" s="243" t="s">
        <v>95</v>
      </c>
      <c r="C27" s="237" t="s">
        <v>93</v>
      </c>
      <c r="D27" s="238" t="e">
        <f>VLOOKUP(B27,'[2]项目库建设情况统计表'!$C:$M,2,0)</f>
        <v>#N/A</v>
      </c>
      <c r="E27" s="238">
        <v>104</v>
      </c>
      <c r="F27" s="239" t="e">
        <f t="shared" si="1143"/>
        <v>#N/A</v>
      </c>
      <c r="G27" s="238" t="e">
        <f>VLOOKUP(B27,'[2]项目库建设情况统计表'!$C:$M,3,0)</f>
        <v>#N/A</v>
      </c>
      <c r="H27" s="238">
        <v>207537.12</v>
      </c>
      <c r="I27" s="239" t="e">
        <f t="shared" si="1144"/>
        <v>#N/A</v>
      </c>
      <c r="J27" s="240">
        <v>3</v>
      </c>
      <c r="K27" s="239">
        <f t="shared" si="1145"/>
        <v>7.4868979286249102e-004</v>
      </c>
      <c r="L27" s="241">
        <v>0.59999999999999998</v>
      </c>
      <c r="M27" s="239">
        <f t="shared" si="1146"/>
        <v>0.59999999999999998</v>
      </c>
      <c r="N27" s="242" t="e">
        <f t="shared" si="1142"/>
        <v>#N/A</v>
      </c>
      <c r="O27" s="134" t="e">
        <f t="shared" si="1147"/>
        <v>#N/A</v>
      </c>
    </row>
    <row r="28">
      <c r="A28" s="235">
        <v>23</v>
      </c>
      <c r="B28" s="243" t="s">
        <v>96</v>
      </c>
      <c r="C28" s="237" t="s">
        <v>93</v>
      </c>
      <c r="D28" s="238" t="e">
        <f>VLOOKUP(B28,'[2]项目库建设情况统计表'!$C:$M,2,0)</f>
        <v>#N/A</v>
      </c>
      <c r="E28" s="238">
        <v>84</v>
      </c>
      <c r="F28" s="239" t="e">
        <f t="shared" si="1143"/>
        <v>#N/A</v>
      </c>
      <c r="G28" s="238" t="e">
        <f>VLOOKUP(B28,'[2]项目库建设情况统计表'!$C:$M,3,0)</f>
        <v>#N/A</v>
      </c>
      <c r="H28" s="238">
        <v>43085.299800000001</v>
      </c>
      <c r="I28" s="239" t="e">
        <f t="shared" si="1144"/>
        <v>#N/A</v>
      </c>
      <c r="J28" s="240">
        <v>68</v>
      </c>
      <c r="K28" s="239">
        <f t="shared" si="1145"/>
        <v>1.6970301971549799e-002</v>
      </c>
      <c r="L28" s="241">
        <v>0.81000000000000005</v>
      </c>
      <c r="M28" s="239">
        <f t="shared" si="1146"/>
        <v>0.81000000000000005</v>
      </c>
      <c r="N28" s="242" t="e">
        <f t="shared" si="1142"/>
        <v>#N/A</v>
      </c>
      <c r="O28" s="134" t="e">
        <f t="shared" si="1147"/>
        <v>#N/A</v>
      </c>
    </row>
    <row r="29">
      <c r="A29" s="235">
        <v>24</v>
      </c>
      <c r="B29" s="243" t="s">
        <v>97</v>
      </c>
      <c r="C29" s="237" t="s">
        <v>90</v>
      </c>
      <c r="D29" s="238" t="e">
        <f>VLOOKUP(B29,'[2]项目库建设情况统计表'!$C:$M,2,0)</f>
        <v>#N/A</v>
      </c>
      <c r="E29" s="238">
        <v>42</v>
      </c>
      <c r="F29" s="239" t="e">
        <f t="shared" si="1143"/>
        <v>#N/A</v>
      </c>
      <c r="G29" s="238" t="e">
        <f>VLOOKUP(B29,'[2]项目库建设情况统计表'!$C:$M,3,0)</f>
        <v>#N/A</v>
      </c>
      <c r="H29" s="238">
        <v>41747.080000000002</v>
      </c>
      <c r="I29" s="239" t="e">
        <f t="shared" si="1144"/>
        <v>#N/A</v>
      </c>
      <c r="J29" s="240"/>
      <c r="K29" s="239">
        <f t="shared" si="1145"/>
        <v>0</v>
      </c>
      <c r="L29" s="241">
        <v>1</v>
      </c>
      <c r="M29" s="239">
        <f t="shared" si="1146"/>
        <v>1</v>
      </c>
      <c r="N29" s="242" t="e">
        <f t="shared" si="1142"/>
        <v>#N/A</v>
      </c>
      <c r="O29" s="134" t="e">
        <f t="shared" si="1147"/>
        <v>#N/A</v>
      </c>
    </row>
    <row r="30">
      <c r="A30" s="235">
        <v>25</v>
      </c>
      <c r="B30" s="243" t="s">
        <v>98</v>
      </c>
      <c r="C30" s="237" t="s">
        <v>78</v>
      </c>
      <c r="D30" s="238" t="e">
        <f>VLOOKUP(B30,'[2]项目库建设情况统计表'!$C:$M,2,0)</f>
        <v>#N/A</v>
      </c>
      <c r="E30" s="238">
        <v>160</v>
      </c>
      <c r="F30" s="239" t="e">
        <f t="shared" si="1143"/>
        <v>#N/A</v>
      </c>
      <c r="G30" s="238" t="e">
        <f>VLOOKUP(B30,'[2]项目库建设情况统计表'!$C:$M,3,0)</f>
        <v>#N/A</v>
      </c>
      <c r="H30" s="238">
        <v>116708.85000000001</v>
      </c>
      <c r="I30" s="239" t="e">
        <f t="shared" si="1144"/>
        <v>#N/A</v>
      </c>
      <c r="J30" s="240">
        <v>4</v>
      </c>
      <c r="K30" s="239">
        <f t="shared" si="1145"/>
        <v>9.9825305714998803e-004</v>
      </c>
      <c r="L30" s="241">
        <v>2.9999999999999999e-002</v>
      </c>
      <c r="M30" s="239">
        <f t="shared" si="1146"/>
        <v>0</v>
      </c>
      <c r="N30" s="242" t="e">
        <f t="shared" si="1142"/>
        <v>#N/A</v>
      </c>
      <c r="O30" s="134" t="e">
        <f t="shared" si="1147"/>
        <v>#N/A</v>
      </c>
    </row>
    <row r="31">
      <c r="A31" s="228"/>
      <c r="B31" s="229" t="s">
        <v>455</v>
      </c>
      <c r="C31" s="230"/>
      <c r="D31" s="231"/>
      <c r="E31" s="231"/>
      <c r="F31" s="232"/>
      <c r="G31" s="231"/>
      <c r="H31" s="231"/>
      <c r="I31" s="232"/>
      <c r="J31" s="231"/>
      <c r="K31" s="232"/>
      <c r="L31" s="233"/>
      <c r="M31" s="232"/>
      <c r="N31" s="234"/>
    </row>
    <row r="32">
      <c r="A32" s="235">
        <v>26</v>
      </c>
      <c r="B32" s="243" t="s">
        <v>101</v>
      </c>
      <c r="C32" s="237" t="s">
        <v>78</v>
      </c>
      <c r="D32" s="238" t="e">
        <f>VLOOKUP(B32,'[2]项目库建设情况统计表'!$C:$M,2,0)</f>
        <v>#N/A</v>
      </c>
      <c r="E32" s="238">
        <v>134</v>
      </c>
      <c r="F32" s="239" t="e">
        <f t="shared" si="1143"/>
        <v>#N/A</v>
      </c>
      <c r="G32" s="238" t="e">
        <f>VLOOKUP(B32,'[2]项目库建设情况统计表'!$C:$M,3,0)</f>
        <v>#N/A</v>
      </c>
      <c r="H32" s="238">
        <v>18660.125</v>
      </c>
      <c r="I32" s="239" t="e">
        <f t="shared" si="1144"/>
        <v>#N/A</v>
      </c>
      <c r="J32" s="240"/>
      <c r="K32" s="239">
        <f t="shared" si="1145"/>
        <v>0</v>
      </c>
      <c r="L32" s="241">
        <v>0.25</v>
      </c>
      <c r="M32" s="239">
        <f t="shared" si="1146"/>
        <v>0</v>
      </c>
      <c r="N32" s="242" t="e">
        <f t="shared" si="1142"/>
        <v>#N/A</v>
      </c>
      <c r="O32" s="134" t="e">
        <f t="shared" si="1147"/>
        <v>#N/A</v>
      </c>
    </row>
    <row r="33">
      <c r="A33" s="235">
        <v>27</v>
      </c>
      <c r="B33" s="243" t="s">
        <v>102</v>
      </c>
      <c r="C33" s="237" t="s">
        <v>78</v>
      </c>
      <c r="D33" s="238" t="e">
        <f>VLOOKUP(B33,'[2]项目库建设情况统计表'!$C:$M,2,0)</f>
        <v>#N/A</v>
      </c>
      <c r="E33" s="238">
        <v>200</v>
      </c>
      <c r="F33" s="239" t="e">
        <f t="shared" si="1143"/>
        <v>#N/A</v>
      </c>
      <c r="G33" s="238" t="e">
        <f>VLOOKUP(B33,'[2]项目库建设情况统计表'!$C:$M,3,0)</f>
        <v>#N/A</v>
      </c>
      <c r="H33" s="238">
        <v>92976.699999999997</v>
      </c>
      <c r="I33" s="239" t="e">
        <f t="shared" si="1144"/>
        <v>#N/A</v>
      </c>
      <c r="J33" s="240">
        <v>11</v>
      </c>
      <c r="K33" s="239">
        <f t="shared" si="1145"/>
        <v>2.7451959071624699e-003</v>
      </c>
      <c r="L33" s="241">
        <v>0.13</v>
      </c>
      <c r="M33" s="239">
        <f t="shared" si="1146"/>
        <v>0</v>
      </c>
      <c r="N33" s="242" t="e">
        <f t="shared" si="1142"/>
        <v>#N/A</v>
      </c>
      <c r="O33" s="134" t="e">
        <f t="shared" si="1147"/>
        <v>#N/A</v>
      </c>
    </row>
    <row r="34">
      <c r="A34" s="235">
        <v>28</v>
      </c>
      <c r="B34" s="243" t="s">
        <v>103</v>
      </c>
      <c r="C34" s="237" t="s">
        <v>78</v>
      </c>
      <c r="D34" s="238" t="e">
        <f>VLOOKUP(B34,'[2]项目库建设情况统计表'!$C:$M,2,0)</f>
        <v>#N/A</v>
      </c>
      <c r="E34" s="238">
        <v>40</v>
      </c>
      <c r="F34" s="239" t="e">
        <f t="shared" si="1143"/>
        <v>#N/A</v>
      </c>
      <c r="G34" s="238" t="e">
        <f>VLOOKUP(B34,'[2]项目库建设情况统计表'!$C:$M,3,0)</f>
        <v>#N/A</v>
      </c>
      <c r="H34" s="238">
        <v>6801.4799999999996</v>
      </c>
      <c r="I34" s="239" t="e">
        <f t="shared" si="1144"/>
        <v>#N/A</v>
      </c>
      <c r="J34" s="240">
        <v>4</v>
      </c>
      <c r="K34" s="239">
        <f t="shared" si="1145"/>
        <v>9.9825305714998803e-004</v>
      </c>
      <c r="L34" s="241">
        <v>0.82999999999999996</v>
      </c>
      <c r="M34" s="239">
        <f t="shared" si="1146"/>
        <v>0.82999999999999996</v>
      </c>
      <c r="N34" s="242" t="e">
        <f t="shared" si="1142"/>
        <v>#N/A</v>
      </c>
      <c r="O34" s="134" t="e">
        <f t="shared" si="1147"/>
        <v>#N/A</v>
      </c>
    </row>
    <row r="35">
      <c r="A35" s="235">
        <v>29</v>
      </c>
      <c r="B35" s="243" t="s">
        <v>104</v>
      </c>
      <c r="C35" s="237" t="s">
        <v>90</v>
      </c>
      <c r="D35" s="238" t="e">
        <f>VLOOKUP(B35,'[2]项目库建设情况统计表'!$C:$M,2,0)</f>
        <v>#N/A</v>
      </c>
      <c r="E35" s="238">
        <v>38</v>
      </c>
      <c r="F35" s="239" t="e">
        <f t="shared" si="1143"/>
        <v>#N/A</v>
      </c>
      <c r="G35" s="238" t="e">
        <f>VLOOKUP(B35,'[2]项目库建设情况统计表'!$C:$M,3,0)</f>
        <v>#N/A</v>
      </c>
      <c r="H35" s="238">
        <v>13012.370000000001</v>
      </c>
      <c r="I35" s="239" t="e">
        <f t="shared" si="1144"/>
        <v>#N/A</v>
      </c>
      <c r="J35" s="240">
        <v>5</v>
      </c>
      <c r="K35" s="239">
        <f t="shared" si="1145"/>
        <v>1.24781632143748e-003</v>
      </c>
      <c r="L35" s="241">
        <v>0.45000000000000001</v>
      </c>
      <c r="M35" s="239">
        <f t="shared" si="1146"/>
        <v>0</v>
      </c>
      <c r="N35" s="242" t="e">
        <f t="shared" si="1142"/>
        <v>#N/A</v>
      </c>
      <c r="O35" s="134" t="e">
        <f t="shared" si="1147"/>
        <v>#N/A</v>
      </c>
    </row>
    <row r="36">
      <c r="A36" s="235">
        <v>30</v>
      </c>
      <c r="B36" s="243" t="s">
        <v>105</v>
      </c>
      <c r="C36" s="237" t="s">
        <v>90</v>
      </c>
      <c r="D36" s="238" t="e">
        <f>VLOOKUP(B36,'[2]项目库建设情况统计表'!$C:$M,2,0)</f>
        <v>#N/A</v>
      </c>
      <c r="E36" s="238">
        <v>178</v>
      </c>
      <c r="F36" s="239" t="e">
        <f t="shared" si="1143"/>
        <v>#N/A</v>
      </c>
      <c r="G36" s="238" t="e">
        <f>VLOOKUP(B36,'[2]项目库建设情况统计表'!$C:$M,3,0)</f>
        <v>#N/A</v>
      </c>
      <c r="H36" s="238">
        <v>21147.959999999999</v>
      </c>
      <c r="I36" s="239" t="e">
        <f t="shared" si="1144"/>
        <v>#N/A</v>
      </c>
      <c r="J36" s="240">
        <v>19</v>
      </c>
      <c r="K36" s="239">
        <f t="shared" si="1145"/>
        <v>4.7417020214624399e-003</v>
      </c>
      <c r="L36" s="241">
        <v>0.25</v>
      </c>
      <c r="M36" s="239">
        <f t="shared" si="1146"/>
        <v>0</v>
      </c>
      <c r="N36" s="242" t="e">
        <f t="shared" si="1142"/>
        <v>#N/A</v>
      </c>
      <c r="O36" s="134" t="e">
        <f t="shared" si="1147"/>
        <v>#N/A</v>
      </c>
    </row>
    <row r="37">
      <c r="A37" s="235">
        <v>31</v>
      </c>
      <c r="B37" s="243" t="s">
        <v>106</v>
      </c>
      <c r="C37" s="237" t="s">
        <v>90</v>
      </c>
      <c r="D37" s="238" t="e">
        <f>VLOOKUP(B37,'[2]项目库建设情况统计表'!$C:$M,2,0)</f>
        <v>#N/A</v>
      </c>
      <c r="E37" s="238">
        <v>294</v>
      </c>
      <c r="F37" s="239" t="e">
        <f t="shared" si="1143"/>
        <v>#N/A</v>
      </c>
      <c r="G37" s="238" t="e">
        <f>VLOOKUP(B37,'[2]项目库建设情况统计表'!$C:$M,3,0)</f>
        <v>#N/A</v>
      </c>
      <c r="H37" s="238">
        <v>44616.760000000002</v>
      </c>
      <c r="I37" s="239" t="e">
        <f t="shared" si="1144"/>
        <v>#N/A</v>
      </c>
      <c r="J37" s="240">
        <v>52</v>
      </c>
      <c r="K37" s="239">
        <f t="shared" si="1145"/>
        <v>1.29772897429498e-002</v>
      </c>
      <c r="L37" s="241">
        <v>0.23000000000000001</v>
      </c>
      <c r="M37" s="239">
        <f t="shared" si="1146"/>
        <v>0</v>
      </c>
      <c r="N37" s="242" t="e">
        <f t="shared" si="1142"/>
        <v>#N/A</v>
      </c>
      <c r="O37" s="134" t="e">
        <f t="shared" si="1147"/>
        <v>#N/A</v>
      </c>
    </row>
    <row r="38">
      <c r="A38" s="235">
        <v>32</v>
      </c>
      <c r="B38" s="243" t="s">
        <v>107</v>
      </c>
      <c r="C38" s="237" t="s">
        <v>93</v>
      </c>
      <c r="D38" s="238" t="e">
        <f>VLOOKUP(B38,'[2]项目库建设情况统计表'!$C:$M,2,0)</f>
        <v>#N/A</v>
      </c>
      <c r="E38" s="238">
        <v>532</v>
      </c>
      <c r="F38" s="239" t="e">
        <f t="shared" si="1143"/>
        <v>#N/A</v>
      </c>
      <c r="G38" s="238" t="e">
        <f>VLOOKUP(B38,'[2]项目库建设情况统计表'!$C:$M,3,0)</f>
        <v>#N/A</v>
      </c>
      <c r="H38" s="238">
        <v>192496.8805</v>
      </c>
      <c r="I38" s="239" t="e">
        <f t="shared" si="1144"/>
        <v>#N/A</v>
      </c>
      <c r="J38" s="240">
        <v>21</v>
      </c>
      <c r="K38" s="239">
        <f t="shared" si="1145"/>
        <v>5.24082855003743e-003</v>
      </c>
      <c r="L38" s="241">
        <v>8.0000000000000002e-002</v>
      </c>
      <c r="M38" s="239">
        <f t="shared" si="1146"/>
        <v>0</v>
      </c>
      <c r="N38" s="242" t="e">
        <f t="shared" si="1142"/>
        <v>#N/A</v>
      </c>
      <c r="O38" s="134" t="e">
        <f t="shared" si="1147"/>
        <v>#N/A</v>
      </c>
    </row>
    <row r="39">
      <c r="A39" s="235">
        <v>33</v>
      </c>
      <c r="B39" s="243" t="s">
        <v>108</v>
      </c>
      <c r="C39" s="237" t="s">
        <v>78</v>
      </c>
      <c r="D39" s="238" t="e">
        <f>VLOOKUP(B39,'[2]项目库建设情况统计表'!$C:$M,2,0)</f>
        <v>#N/A</v>
      </c>
      <c r="E39" s="238">
        <v>76</v>
      </c>
      <c r="F39" s="239" t="e">
        <f t="shared" si="1143"/>
        <v>#N/A</v>
      </c>
      <c r="G39" s="238" t="e">
        <f>VLOOKUP(B39,'[2]项目库建设情况统计表'!$C:$M,3,0)</f>
        <v>#N/A</v>
      </c>
      <c r="H39" s="238">
        <v>5261.5039999999999</v>
      </c>
      <c r="I39" s="239" t="e">
        <f t="shared" si="1144"/>
        <v>#N/A</v>
      </c>
      <c r="J39" s="240">
        <v>21</v>
      </c>
      <c r="K39" s="239">
        <f t="shared" si="1145"/>
        <v>5.24082855003743e-003</v>
      </c>
      <c r="L39" s="241">
        <v>0.93999999999999995</v>
      </c>
      <c r="M39" s="239">
        <f t="shared" si="1146"/>
        <v>0.93999999999999995</v>
      </c>
      <c r="N39" s="242" t="e">
        <f t="shared" si="1142"/>
        <v>#N/A</v>
      </c>
      <c r="O39" s="134" t="e">
        <f t="shared" si="1147"/>
        <v>#N/A</v>
      </c>
    </row>
    <row r="40">
      <c r="A40" s="235">
        <v>34</v>
      </c>
      <c r="B40" s="243" t="s">
        <v>109</v>
      </c>
      <c r="C40" s="237" t="s">
        <v>93</v>
      </c>
      <c r="D40" s="238" t="e">
        <f>VLOOKUP(B40,'[2]项目库建设情况统计表'!$C:$M,2,0)</f>
        <v>#N/A</v>
      </c>
      <c r="E40" s="238">
        <v>229</v>
      </c>
      <c r="F40" s="239" t="e">
        <f t="shared" si="1143"/>
        <v>#N/A</v>
      </c>
      <c r="G40" s="238" t="e">
        <f>VLOOKUP(B40,'[2]项目库建设情况统计表'!$C:$M,3,0)</f>
        <v>#N/A</v>
      </c>
      <c r="H40" s="238">
        <v>83302.789999999994</v>
      </c>
      <c r="I40" s="239" t="e">
        <f t="shared" si="1144"/>
        <v>#N/A</v>
      </c>
      <c r="J40" s="240">
        <v>185</v>
      </c>
      <c r="K40" s="239">
        <f t="shared" si="1145"/>
        <v>4.6169203893186898e-002</v>
      </c>
      <c r="L40" s="241">
        <v>0.83999999999999997</v>
      </c>
      <c r="M40" s="239">
        <f t="shared" si="1146"/>
        <v>0.83999999999999997</v>
      </c>
      <c r="N40" s="242" t="e">
        <f t="shared" si="1142"/>
        <v>#N/A</v>
      </c>
      <c r="O40" s="134" t="e">
        <f t="shared" si="1147"/>
        <v>#N/A</v>
      </c>
    </row>
    <row r="41">
      <c r="A41" s="228"/>
      <c r="B41" s="229" t="s">
        <v>456</v>
      </c>
      <c r="C41" s="230"/>
      <c r="D41" s="231"/>
      <c r="E41" s="231"/>
      <c r="F41" s="232"/>
      <c r="G41" s="231"/>
      <c r="H41" s="231"/>
      <c r="I41" s="232"/>
      <c r="J41" s="231"/>
      <c r="K41" s="232"/>
      <c r="L41" s="233"/>
      <c r="M41" s="232"/>
      <c r="N41" s="234"/>
    </row>
    <row r="42">
      <c r="A42" s="235">
        <v>35</v>
      </c>
      <c r="B42" s="243" t="s">
        <v>112</v>
      </c>
      <c r="C42" s="237" t="s">
        <v>78</v>
      </c>
      <c r="D42" s="238" t="e">
        <f>VLOOKUP(B42,'[2]项目库建设情况统计表'!$C:$M,2,0)</f>
        <v>#N/A</v>
      </c>
      <c r="E42" s="238">
        <v>151</v>
      </c>
      <c r="F42" s="239" t="e">
        <f t="shared" si="1143"/>
        <v>#N/A</v>
      </c>
      <c r="G42" s="238" t="e">
        <f>VLOOKUP(B42,'[2]项目库建设情况统计表'!$C:$M,3,0)</f>
        <v>#N/A</v>
      </c>
      <c r="H42" s="238">
        <v>114177.64138</v>
      </c>
      <c r="I42" s="239" t="e">
        <f t="shared" si="1144"/>
        <v>#N/A</v>
      </c>
      <c r="J42" s="240">
        <v>15</v>
      </c>
      <c r="K42" s="239">
        <f t="shared" si="1145"/>
        <v>3.7434489643124501e-003</v>
      </c>
      <c r="L42" s="241">
        <v>0.10000000000000001</v>
      </c>
      <c r="M42" s="239">
        <f t="shared" si="1146"/>
        <v>0</v>
      </c>
      <c r="N42" s="242" t="e">
        <f t="shared" si="1142"/>
        <v>#N/A</v>
      </c>
      <c r="O42" s="134" t="e">
        <f t="shared" si="1147"/>
        <v>#N/A</v>
      </c>
    </row>
    <row r="43">
      <c r="A43" s="235">
        <v>36</v>
      </c>
      <c r="B43" s="243" t="s">
        <v>113</v>
      </c>
      <c r="C43" s="237" t="s">
        <v>78</v>
      </c>
      <c r="D43" s="238" t="e">
        <f>VLOOKUP(B43,'[2]项目库建设情况统计表'!$C:$M,2,0)</f>
        <v>#N/A</v>
      </c>
      <c r="E43" s="238">
        <v>85</v>
      </c>
      <c r="F43" s="239" t="e">
        <f t="shared" si="1143"/>
        <v>#N/A</v>
      </c>
      <c r="G43" s="238" t="e">
        <f>VLOOKUP(B43,'[2]项目库建设情况统计表'!$C:$M,3,0)</f>
        <v>#N/A</v>
      </c>
      <c r="H43" s="238">
        <v>14636.51</v>
      </c>
      <c r="I43" s="239" t="e">
        <f t="shared" si="1144"/>
        <v>#N/A</v>
      </c>
      <c r="J43" s="240">
        <v>4</v>
      </c>
      <c r="K43" s="239">
        <f t="shared" si="1145"/>
        <v>9.9825305714998803e-004</v>
      </c>
      <c r="L43" s="241">
        <v>0.41999999999999998</v>
      </c>
      <c r="M43" s="239">
        <f t="shared" si="1146"/>
        <v>0</v>
      </c>
      <c r="N43" s="242" t="e">
        <f t="shared" si="1142"/>
        <v>#N/A</v>
      </c>
      <c r="O43" s="134" t="e">
        <f t="shared" si="1147"/>
        <v>#N/A</v>
      </c>
    </row>
    <row r="44">
      <c r="A44" s="235">
        <v>37</v>
      </c>
      <c r="B44" s="243" t="s">
        <v>114</v>
      </c>
      <c r="C44" s="237" t="s">
        <v>78</v>
      </c>
      <c r="D44" s="238" t="e">
        <f>VLOOKUP(B44,'[2]项目库建设情况统计表'!$C:$M,2,0)</f>
        <v>#N/A</v>
      </c>
      <c r="E44" s="238">
        <v>103</v>
      </c>
      <c r="F44" s="239" t="e">
        <f t="shared" si="1143"/>
        <v>#N/A</v>
      </c>
      <c r="G44" s="238" t="e">
        <f>VLOOKUP(B44,'[2]项目库建设情况统计表'!$C:$M,3,0)</f>
        <v>#N/A</v>
      </c>
      <c r="H44" s="238">
        <v>20640.433000000001</v>
      </c>
      <c r="I44" s="239" t="e">
        <f t="shared" si="1144"/>
        <v>#N/A</v>
      </c>
      <c r="J44" s="240">
        <v>1</v>
      </c>
      <c r="K44" s="239">
        <f t="shared" si="1145"/>
        <v>2.4956326428749701e-004</v>
      </c>
      <c r="L44" s="241">
        <v>0.12</v>
      </c>
      <c r="M44" s="239">
        <f t="shared" si="1146"/>
        <v>0</v>
      </c>
      <c r="N44" s="242" t="e">
        <f t="shared" si="1142"/>
        <v>#N/A</v>
      </c>
      <c r="O44" s="134" t="e">
        <f t="shared" si="1147"/>
        <v>#N/A</v>
      </c>
    </row>
    <row r="45">
      <c r="A45" s="235">
        <v>38</v>
      </c>
      <c r="B45" s="243" t="s">
        <v>115</v>
      </c>
      <c r="C45" s="237" t="s">
        <v>78</v>
      </c>
      <c r="D45" s="238" t="e">
        <f>VLOOKUP(B45,'[2]项目库建设情况统计表'!$C:$M,2,0)</f>
        <v>#N/A</v>
      </c>
      <c r="E45" s="238">
        <v>43</v>
      </c>
      <c r="F45" s="239" t="e">
        <f t="shared" si="1143"/>
        <v>#N/A</v>
      </c>
      <c r="G45" s="238" t="e">
        <f>VLOOKUP(B45,'[2]项目库建设情况统计表'!$C:$M,3,0)</f>
        <v>#N/A</v>
      </c>
      <c r="H45" s="238">
        <v>3485.7948999999999</v>
      </c>
      <c r="I45" s="239" t="e">
        <f t="shared" si="1144"/>
        <v>#N/A</v>
      </c>
      <c r="J45" s="240">
        <v>18</v>
      </c>
      <c r="K45" s="239">
        <f t="shared" si="1145"/>
        <v>4.4921387571749396e-003</v>
      </c>
      <c r="L45" s="241">
        <v>0.90000000000000002</v>
      </c>
      <c r="M45" s="239">
        <f t="shared" si="1146"/>
        <v>0.90000000000000002</v>
      </c>
      <c r="N45" s="242" t="e">
        <f t="shared" si="1142"/>
        <v>#N/A</v>
      </c>
      <c r="O45" s="134" t="e">
        <f t="shared" si="1147"/>
        <v>#N/A</v>
      </c>
    </row>
    <row r="46">
      <c r="A46" s="235">
        <v>39</v>
      </c>
      <c r="B46" s="243" t="s">
        <v>116</v>
      </c>
      <c r="C46" s="237" t="s">
        <v>78</v>
      </c>
      <c r="D46" s="238" t="e">
        <f>VLOOKUP(B46,'[2]项目库建设情况统计表'!$C:$M,2,0)</f>
        <v>#N/A</v>
      </c>
      <c r="E46" s="238">
        <v>70</v>
      </c>
      <c r="F46" s="239" t="e">
        <f t="shared" si="1143"/>
        <v>#N/A</v>
      </c>
      <c r="G46" s="238" t="e">
        <f>VLOOKUP(B46,'[2]项目库建设情况统计表'!$C:$M,3,0)</f>
        <v>#N/A</v>
      </c>
      <c r="H46" s="238">
        <v>15988.370000000001</v>
      </c>
      <c r="I46" s="239" t="e">
        <f t="shared" si="1144"/>
        <v>#N/A</v>
      </c>
      <c r="J46" s="240">
        <v>8</v>
      </c>
      <c r="K46" s="239">
        <f t="shared" si="1145"/>
        <v>1.99650611429998e-003</v>
      </c>
      <c r="L46" s="241">
        <v>0.41999999999999998</v>
      </c>
      <c r="M46" s="239">
        <f t="shared" si="1146"/>
        <v>0</v>
      </c>
      <c r="N46" s="242" t="e">
        <f t="shared" si="1142"/>
        <v>#N/A</v>
      </c>
      <c r="O46" s="134" t="e">
        <f t="shared" si="1147"/>
        <v>#N/A</v>
      </c>
    </row>
    <row r="47">
      <c r="A47" s="235">
        <v>40</v>
      </c>
      <c r="B47" s="243" t="s">
        <v>117</v>
      </c>
      <c r="C47" s="237" t="s">
        <v>78</v>
      </c>
      <c r="D47" s="238" t="e">
        <f>VLOOKUP(B47,'[2]项目库建设情况统计表'!$C:$M,2,0)</f>
        <v>#N/A</v>
      </c>
      <c r="E47" s="238">
        <v>60</v>
      </c>
      <c r="F47" s="239" t="e">
        <f t="shared" si="1143"/>
        <v>#N/A</v>
      </c>
      <c r="G47" s="238" t="e">
        <f>VLOOKUP(B47,'[2]项目库建设情况统计表'!$C:$M,3,0)</f>
        <v>#N/A</v>
      </c>
      <c r="H47" s="238">
        <v>11385.112499999999</v>
      </c>
      <c r="I47" s="239" t="e">
        <f t="shared" si="1144"/>
        <v>#N/A</v>
      </c>
      <c r="J47" s="240">
        <v>2</v>
      </c>
      <c r="K47" s="239">
        <f t="shared" si="1145"/>
        <v>4.9912652857499401e-004</v>
      </c>
      <c r="L47" s="241">
        <v>0.53000000000000003</v>
      </c>
      <c r="M47" s="239">
        <f t="shared" si="1146"/>
        <v>0.53000000000000003</v>
      </c>
      <c r="N47" s="242" t="e">
        <f t="shared" si="1142"/>
        <v>#N/A</v>
      </c>
      <c r="O47" s="134" t="e">
        <f t="shared" si="1147"/>
        <v>#N/A</v>
      </c>
    </row>
    <row r="48">
      <c r="A48" s="235">
        <v>41</v>
      </c>
      <c r="B48" s="243" t="s">
        <v>118</v>
      </c>
      <c r="C48" s="237" t="s">
        <v>78</v>
      </c>
      <c r="D48" s="238" t="e">
        <f>VLOOKUP(B48,'[2]项目库建设情况统计表'!$C:$M,2,0)</f>
        <v>#N/A</v>
      </c>
      <c r="E48" s="238">
        <v>93</v>
      </c>
      <c r="F48" s="239" t="e">
        <f t="shared" si="1143"/>
        <v>#N/A</v>
      </c>
      <c r="G48" s="238" t="e">
        <f>VLOOKUP(B48,'[2]项目库建设情况统计表'!$C:$M,3,0)</f>
        <v>#N/A</v>
      </c>
      <c r="H48" s="238">
        <v>10312.668</v>
      </c>
      <c r="I48" s="239" t="e">
        <f t="shared" si="1144"/>
        <v>#N/A</v>
      </c>
      <c r="J48" s="240">
        <v>9</v>
      </c>
      <c r="K48" s="239">
        <f t="shared" si="1145"/>
        <v>2.2460693785874698e-003</v>
      </c>
      <c r="L48" s="241">
        <v>0.40999999999999998</v>
      </c>
      <c r="M48" s="239">
        <f t="shared" si="1146"/>
        <v>0</v>
      </c>
      <c r="N48" s="242" t="e">
        <f t="shared" si="1142"/>
        <v>#N/A</v>
      </c>
      <c r="O48" s="134" t="e">
        <f t="shared" si="1147"/>
        <v>#N/A</v>
      </c>
    </row>
    <row r="49">
      <c r="A49" s="235">
        <v>42</v>
      </c>
      <c r="B49" s="243" t="s">
        <v>119</v>
      </c>
      <c r="C49" s="237" t="s">
        <v>78</v>
      </c>
      <c r="D49" s="238" t="e">
        <f>VLOOKUP(B49,'[2]项目库建设情况统计表'!$C:$M,2,0)</f>
        <v>#N/A</v>
      </c>
      <c r="E49" s="238">
        <v>98</v>
      </c>
      <c r="F49" s="239" t="e">
        <f t="shared" si="1143"/>
        <v>#N/A</v>
      </c>
      <c r="G49" s="238" t="e">
        <f>VLOOKUP(B49,'[2]项目库建设情况统计表'!$C:$M,3,0)</f>
        <v>#N/A</v>
      </c>
      <c r="H49" s="238">
        <v>31054.286</v>
      </c>
      <c r="I49" s="239" t="e">
        <f t="shared" si="1144"/>
        <v>#N/A</v>
      </c>
      <c r="J49" s="240"/>
      <c r="K49" s="239">
        <f t="shared" si="1145"/>
        <v>0</v>
      </c>
      <c r="L49" s="241">
        <v>0.17000000000000001</v>
      </c>
      <c r="M49" s="239">
        <f t="shared" si="1146"/>
        <v>0</v>
      </c>
      <c r="N49" s="242" t="e">
        <f t="shared" si="1142"/>
        <v>#N/A</v>
      </c>
      <c r="O49" s="134" t="e">
        <f t="shared" si="1147"/>
        <v>#N/A</v>
      </c>
    </row>
    <row r="50">
      <c r="A50" s="235">
        <v>43</v>
      </c>
      <c r="B50" s="243" t="s">
        <v>120</v>
      </c>
      <c r="C50" s="237" t="s">
        <v>78</v>
      </c>
      <c r="D50" s="238" t="e">
        <f>VLOOKUP(B50,'[2]项目库建设情况统计表'!$C:$M,2,0)</f>
        <v>#N/A</v>
      </c>
      <c r="E50" s="238">
        <v>31</v>
      </c>
      <c r="F50" s="239" t="e">
        <f t="shared" si="1143"/>
        <v>#N/A</v>
      </c>
      <c r="G50" s="238" t="e">
        <f>VLOOKUP(B50,'[2]项目库建设情况统计表'!$C:$M,3,0)</f>
        <v>#N/A</v>
      </c>
      <c r="H50" s="238">
        <v>4980.1599999999999</v>
      </c>
      <c r="I50" s="239" t="e">
        <f t="shared" si="1144"/>
        <v>#N/A</v>
      </c>
      <c r="J50" s="240">
        <v>18</v>
      </c>
      <c r="K50" s="239">
        <f t="shared" si="1145"/>
        <v>4.4921387571749396e-003</v>
      </c>
      <c r="L50" s="241">
        <v>0.65000000000000002</v>
      </c>
      <c r="M50" s="239">
        <f t="shared" si="1146"/>
        <v>0.65000000000000002</v>
      </c>
      <c r="N50" s="242" t="e">
        <f t="shared" si="1142"/>
        <v>#N/A</v>
      </c>
      <c r="O50" s="134" t="e">
        <f t="shared" si="1147"/>
        <v>#N/A</v>
      </c>
    </row>
    <row r="51">
      <c r="A51" s="228"/>
      <c r="B51" s="229" t="s">
        <v>380</v>
      </c>
      <c r="C51" s="230"/>
      <c r="D51" s="231"/>
      <c r="E51" s="231"/>
      <c r="F51" s="232"/>
      <c r="G51" s="231"/>
      <c r="H51" s="231"/>
      <c r="I51" s="232"/>
      <c r="J51" s="231"/>
      <c r="K51" s="232"/>
      <c r="L51" s="233"/>
      <c r="M51" s="232"/>
      <c r="N51" s="234"/>
    </row>
    <row r="52">
      <c r="A52" s="235">
        <v>44</v>
      </c>
      <c r="B52" s="243" t="s">
        <v>123</v>
      </c>
      <c r="C52" s="237" t="s">
        <v>78</v>
      </c>
      <c r="D52" s="238" t="e">
        <f>VLOOKUP(B52,'[2]项目库建设情况统计表'!$C:$M,2,0)</f>
        <v>#N/A</v>
      </c>
      <c r="E52" s="238">
        <v>117</v>
      </c>
      <c r="F52" s="239" t="e">
        <f t="shared" si="1143"/>
        <v>#N/A</v>
      </c>
      <c r="G52" s="238" t="e">
        <f>VLOOKUP(B52,'[2]项目库建设情况统计表'!$C:$M,3,0)</f>
        <v>#N/A</v>
      </c>
      <c r="H52" s="238">
        <v>22058.75</v>
      </c>
      <c r="I52" s="239" t="e">
        <f t="shared" si="1144"/>
        <v>#N/A</v>
      </c>
      <c r="J52" s="240">
        <v>8</v>
      </c>
      <c r="K52" s="239">
        <f t="shared" si="1145"/>
        <v>1.99650611429998e-003</v>
      </c>
      <c r="L52" s="241">
        <v>0.10000000000000001</v>
      </c>
      <c r="M52" s="239">
        <f t="shared" si="1146"/>
        <v>0</v>
      </c>
      <c r="N52" s="242" t="e">
        <f t="shared" si="1142"/>
        <v>#N/A</v>
      </c>
      <c r="O52" s="134" t="e">
        <f t="shared" si="1147"/>
        <v>#N/A</v>
      </c>
    </row>
    <row r="53">
      <c r="A53" s="235">
        <v>45</v>
      </c>
      <c r="B53" s="243" t="s">
        <v>124</v>
      </c>
      <c r="C53" s="237" t="s">
        <v>78</v>
      </c>
      <c r="D53" s="238" t="e">
        <f>VLOOKUP(B53,'[2]项目库建设情况统计表'!$C:$M,2,0)</f>
        <v>#N/A</v>
      </c>
      <c r="E53" s="238">
        <v>87</v>
      </c>
      <c r="F53" s="239" t="e">
        <f t="shared" si="1143"/>
        <v>#N/A</v>
      </c>
      <c r="G53" s="238" t="e">
        <f>VLOOKUP(B53,'[2]项目库建设情况统计表'!$C:$M,3,0)</f>
        <v>#N/A</v>
      </c>
      <c r="H53" s="238">
        <v>19479.478070000001</v>
      </c>
      <c r="I53" s="239" t="e">
        <f t="shared" si="1144"/>
        <v>#N/A</v>
      </c>
      <c r="J53" s="240">
        <v>9</v>
      </c>
      <c r="K53" s="239">
        <f t="shared" si="1145"/>
        <v>2.2460693785874698e-003</v>
      </c>
      <c r="L53" s="241">
        <v>0.17000000000000001</v>
      </c>
      <c r="M53" s="239">
        <f t="shared" si="1146"/>
        <v>0</v>
      </c>
      <c r="N53" s="242" t="e">
        <f t="shared" si="1142"/>
        <v>#N/A</v>
      </c>
      <c r="O53" s="134" t="e">
        <f t="shared" si="1147"/>
        <v>#N/A</v>
      </c>
    </row>
    <row r="54">
      <c r="A54" s="235">
        <v>46</v>
      </c>
      <c r="B54" s="243" t="s">
        <v>125</v>
      </c>
      <c r="C54" s="237" t="s">
        <v>78</v>
      </c>
      <c r="D54" s="238" t="e">
        <f>VLOOKUP(B54,'[2]项目库建设情况统计表'!$C:$M,2,0)</f>
        <v>#N/A</v>
      </c>
      <c r="E54" s="238">
        <v>23</v>
      </c>
      <c r="F54" s="239" t="e">
        <f t="shared" si="1143"/>
        <v>#N/A</v>
      </c>
      <c r="G54" s="238" t="e">
        <f>VLOOKUP(B54,'[2]项目库建设情况统计表'!$C:$M,3,0)</f>
        <v>#N/A</v>
      </c>
      <c r="H54" s="238">
        <v>3758.46</v>
      </c>
      <c r="I54" s="239" t="e">
        <f t="shared" si="1144"/>
        <v>#N/A</v>
      </c>
      <c r="J54" s="240">
        <v>6</v>
      </c>
      <c r="K54" s="239">
        <f t="shared" si="1145"/>
        <v>1.4973795857249801e-003</v>
      </c>
      <c r="L54" s="241">
        <v>1</v>
      </c>
      <c r="M54" s="239">
        <f t="shared" si="1146"/>
        <v>1</v>
      </c>
      <c r="N54" s="242" t="e">
        <f t="shared" si="1142"/>
        <v>#N/A</v>
      </c>
      <c r="O54" s="134" t="e">
        <f t="shared" si="1147"/>
        <v>#N/A</v>
      </c>
    </row>
    <row r="55">
      <c r="A55" s="235">
        <v>47</v>
      </c>
      <c r="B55" s="243" t="s">
        <v>126</v>
      </c>
      <c r="C55" s="237" t="s">
        <v>90</v>
      </c>
      <c r="D55" s="238" t="e">
        <f>VLOOKUP(B55,'[2]项目库建设情况统计表'!$C:$M,2,0)</f>
        <v>#N/A</v>
      </c>
      <c r="E55" s="238">
        <v>212</v>
      </c>
      <c r="F55" s="239" t="e">
        <f t="shared" si="1143"/>
        <v>#N/A</v>
      </c>
      <c r="G55" s="238" t="e">
        <f>VLOOKUP(B55,'[2]项目库建设情况统计表'!$C:$M,3,0)</f>
        <v>#N/A</v>
      </c>
      <c r="H55" s="238">
        <v>30580.93</v>
      </c>
      <c r="I55" s="239" t="e">
        <f t="shared" si="1144"/>
        <v>#N/A</v>
      </c>
      <c r="J55" s="240">
        <v>48</v>
      </c>
      <c r="K55" s="239">
        <f t="shared" si="1145"/>
        <v>1.1979036685799801e-002</v>
      </c>
      <c r="L55" s="241">
        <v>0.83999999999999997</v>
      </c>
      <c r="M55" s="239">
        <f t="shared" si="1146"/>
        <v>0.83999999999999997</v>
      </c>
      <c r="N55" s="242" t="e">
        <f t="shared" si="1142"/>
        <v>#N/A</v>
      </c>
      <c r="O55" s="134" t="e">
        <f t="shared" si="1147"/>
        <v>#N/A</v>
      </c>
    </row>
    <row r="56">
      <c r="A56" s="235">
        <v>48</v>
      </c>
      <c r="B56" s="243" t="s">
        <v>127</v>
      </c>
      <c r="C56" s="237" t="s">
        <v>78</v>
      </c>
      <c r="D56" s="238" t="e">
        <f>VLOOKUP(B56,'[2]项目库建设情况统计表'!$C:$M,2,0)</f>
        <v>#N/A</v>
      </c>
      <c r="E56" s="238">
        <v>20</v>
      </c>
      <c r="F56" s="239" t="e">
        <f t="shared" si="1143"/>
        <v>#N/A</v>
      </c>
      <c r="G56" s="238" t="e">
        <f>VLOOKUP(B56,'[2]项目库建设情况统计表'!$C:$M,3,0)</f>
        <v>#N/A</v>
      </c>
      <c r="H56" s="238">
        <v>3900.71</v>
      </c>
      <c r="I56" s="239" t="e">
        <f t="shared" si="1144"/>
        <v>#N/A</v>
      </c>
      <c r="J56" s="240">
        <v>2</v>
      </c>
      <c r="K56" s="239">
        <f t="shared" si="1145"/>
        <v>4.9912652857499401e-004</v>
      </c>
      <c r="L56" s="241">
        <v>0.11</v>
      </c>
      <c r="M56" s="239">
        <f t="shared" si="1146"/>
        <v>0</v>
      </c>
      <c r="N56" s="242" t="e">
        <f t="shared" si="1142"/>
        <v>#N/A</v>
      </c>
      <c r="O56" s="134" t="e">
        <f t="shared" si="1147"/>
        <v>#N/A</v>
      </c>
    </row>
    <row r="57">
      <c r="A57" s="235">
        <v>49</v>
      </c>
      <c r="B57" s="243" t="s">
        <v>128</v>
      </c>
      <c r="C57" s="237" t="s">
        <v>90</v>
      </c>
      <c r="D57" s="238" t="e">
        <f>VLOOKUP(B57,'[2]项目库建设情况统计表'!$C:$M,2,0)</f>
        <v>#N/A</v>
      </c>
      <c r="E57" s="238">
        <v>92</v>
      </c>
      <c r="F57" s="239" t="e">
        <f t="shared" si="1143"/>
        <v>#N/A</v>
      </c>
      <c r="G57" s="238" t="e">
        <f>VLOOKUP(B57,'[2]项目库建设情况统计表'!$C:$M,3,0)</f>
        <v>#N/A</v>
      </c>
      <c r="H57" s="238">
        <v>29047.439999999999</v>
      </c>
      <c r="I57" s="239" t="e">
        <f t="shared" si="1144"/>
        <v>#N/A</v>
      </c>
      <c r="J57" s="240">
        <v>23</v>
      </c>
      <c r="K57" s="239">
        <f t="shared" si="1145"/>
        <v>5.7399550786124296e-003</v>
      </c>
      <c r="L57" s="241">
        <v>0.44</v>
      </c>
      <c r="M57" s="239">
        <f t="shared" si="1146"/>
        <v>0</v>
      </c>
      <c r="N57" s="242" t="e">
        <f t="shared" si="1142"/>
        <v>#N/A</v>
      </c>
      <c r="O57" s="134" t="e">
        <f t="shared" si="1147"/>
        <v>#N/A</v>
      </c>
    </row>
    <row r="58">
      <c r="A58" s="235">
        <v>50</v>
      </c>
      <c r="B58" s="243" t="s">
        <v>129</v>
      </c>
      <c r="C58" s="237" t="s">
        <v>78</v>
      </c>
      <c r="D58" s="238" t="e">
        <f>VLOOKUP(B58,'[2]项目库建设情况统计表'!$C:$M,2,0)</f>
        <v>#N/A</v>
      </c>
      <c r="E58" s="238">
        <v>127</v>
      </c>
      <c r="F58" s="239" t="e">
        <f t="shared" si="1143"/>
        <v>#N/A</v>
      </c>
      <c r="G58" s="238" t="e">
        <f>VLOOKUP(B58,'[2]项目库建设情况统计表'!$C:$M,3,0)</f>
        <v>#N/A</v>
      </c>
      <c r="H58" s="238">
        <v>15967.73</v>
      </c>
      <c r="I58" s="239" t="e">
        <f t="shared" si="1144"/>
        <v>#N/A</v>
      </c>
      <c r="J58" s="240">
        <v>36</v>
      </c>
      <c r="K58" s="239">
        <f t="shared" si="1145"/>
        <v>8.9842775143498897e-003</v>
      </c>
      <c r="L58" s="241">
        <v>0.42999999999999999</v>
      </c>
      <c r="M58" s="239">
        <f t="shared" si="1146"/>
        <v>0</v>
      </c>
      <c r="N58" s="242" t="e">
        <f t="shared" si="1142"/>
        <v>#N/A</v>
      </c>
      <c r="O58" s="134" t="e">
        <f t="shared" si="1147"/>
        <v>#N/A</v>
      </c>
    </row>
    <row r="59">
      <c r="A59" s="235">
        <v>51</v>
      </c>
      <c r="B59" s="243" t="s">
        <v>130</v>
      </c>
      <c r="C59" s="237" t="s">
        <v>90</v>
      </c>
      <c r="D59" s="238" t="e">
        <f>VLOOKUP(B59,'[2]项目库建设情况统计表'!$C:$M,2,0)</f>
        <v>#N/A</v>
      </c>
      <c r="E59" s="238">
        <v>135</v>
      </c>
      <c r="F59" s="239" t="e">
        <f t="shared" si="1143"/>
        <v>#N/A</v>
      </c>
      <c r="G59" s="238" t="e">
        <f>VLOOKUP(B59,'[2]项目库建设情况统计表'!$C:$M,3,0)</f>
        <v>#N/A</v>
      </c>
      <c r="H59" s="238">
        <v>29444.259999999998</v>
      </c>
      <c r="I59" s="239" t="e">
        <f t="shared" si="1144"/>
        <v>#N/A</v>
      </c>
      <c r="J59" s="240">
        <v>96</v>
      </c>
      <c r="K59" s="239">
        <f t="shared" si="1145"/>
        <v>2.3958073371599699e-002</v>
      </c>
      <c r="L59" s="241">
        <v>0.83999999999999997</v>
      </c>
      <c r="M59" s="239">
        <f t="shared" si="1146"/>
        <v>0.83999999999999997</v>
      </c>
      <c r="N59" s="242" t="e">
        <f t="shared" si="1142"/>
        <v>#N/A</v>
      </c>
      <c r="O59" s="134" t="e">
        <f t="shared" si="1147"/>
        <v>#N/A</v>
      </c>
    </row>
    <row r="60">
      <c r="A60" s="235">
        <v>52</v>
      </c>
      <c r="B60" s="243" t="s">
        <v>131</v>
      </c>
      <c r="C60" s="237" t="s">
        <v>93</v>
      </c>
      <c r="D60" s="238" t="e">
        <f>VLOOKUP(B60,'[2]项目库建设情况统计表'!$C:$M,2,0)</f>
        <v>#N/A</v>
      </c>
      <c r="E60" s="238">
        <v>175</v>
      </c>
      <c r="F60" s="239" t="e">
        <f t="shared" si="1143"/>
        <v>#N/A</v>
      </c>
      <c r="G60" s="238" t="e">
        <f>VLOOKUP(B60,'[2]项目库建设情况统计表'!$C:$M,3,0)</f>
        <v>#N/A</v>
      </c>
      <c r="H60" s="238">
        <v>39378.5</v>
      </c>
      <c r="I60" s="239" t="e">
        <f t="shared" si="1144"/>
        <v>#N/A</v>
      </c>
      <c r="J60" s="240">
        <v>34</v>
      </c>
      <c r="K60" s="239">
        <f t="shared" si="1145"/>
        <v>8.4851509857748909e-003</v>
      </c>
      <c r="L60" s="241">
        <v>0.88</v>
      </c>
      <c r="M60" s="239">
        <f t="shared" si="1146"/>
        <v>0.88</v>
      </c>
      <c r="N60" s="242" t="e">
        <f t="shared" si="1142"/>
        <v>#N/A</v>
      </c>
      <c r="O60" s="134" t="e">
        <f t="shared" si="1147"/>
        <v>#N/A</v>
      </c>
    </row>
    <row r="61">
      <c r="A61" s="235">
        <v>53</v>
      </c>
      <c r="B61" s="243" t="s">
        <v>132</v>
      </c>
      <c r="C61" s="237" t="s">
        <v>93</v>
      </c>
      <c r="D61" s="238" t="e">
        <f>VLOOKUP(B61,'[2]项目库建设情况统计表'!$C:$M,2,0)</f>
        <v>#N/A</v>
      </c>
      <c r="E61" s="238">
        <v>279</v>
      </c>
      <c r="F61" s="239" t="e">
        <f t="shared" si="1143"/>
        <v>#N/A</v>
      </c>
      <c r="G61" s="238" t="e">
        <f>VLOOKUP(B61,'[2]项目库建设情况统计表'!$C:$M,3,0)</f>
        <v>#N/A</v>
      </c>
      <c r="H61" s="238">
        <v>64921.559999999998</v>
      </c>
      <c r="I61" s="239" t="e">
        <f t="shared" si="1144"/>
        <v>#N/A</v>
      </c>
      <c r="J61" s="240">
        <v>117</v>
      </c>
      <c r="K61" s="239">
        <f t="shared" si="1145"/>
        <v>2.9198901921637099e-002</v>
      </c>
      <c r="L61" s="241">
        <v>0.73999999999999999</v>
      </c>
      <c r="M61" s="239">
        <f t="shared" si="1146"/>
        <v>0.73999999999999999</v>
      </c>
      <c r="N61" s="242" t="e">
        <f t="shared" si="1142"/>
        <v>#N/A</v>
      </c>
      <c r="O61" s="134" t="e">
        <f t="shared" si="1147"/>
        <v>#N/A</v>
      </c>
    </row>
    <row r="62">
      <c r="A62" s="235">
        <v>54</v>
      </c>
      <c r="B62" s="243" t="s">
        <v>133</v>
      </c>
      <c r="C62" s="237" t="s">
        <v>93</v>
      </c>
      <c r="D62" s="238" t="e">
        <f>VLOOKUP(B62,'[2]项目库建设情况统计表'!$C:$M,2,0)</f>
        <v>#N/A</v>
      </c>
      <c r="E62" s="238">
        <v>253</v>
      </c>
      <c r="F62" s="239" t="e">
        <f t="shared" si="1143"/>
        <v>#N/A</v>
      </c>
      <c r="G62" s="238" t="e">
        <f>VLOOKUP(B62,'[2]项目库建设情况统计表'!$C:$M,3,0)</f>
        <v>#N/A</v>
      </c>
      <c r="H62" s="238">
        <v>46425.503400000001</v>
      </c>
      <c r="I62" s="239" t="e">
        <f t="shared" si="1144"/>
        <v>#N/A</v>
      </c>
      <c r="J62" s="240">
        <v>99</v>
      </c>
      <c r="K62" s="239">
        <f t="shared" si="1145"/>
        <v>2.47067631644622e-002</v>
      </c>
      <c r="L62" s="241">
        <v>0.38</v>
      </c>
      <c r="M62" s="239">
        <f t="shared" si="1146"/>
        <v>0</v>
      </c>
      <c r="N62" s="242" t="e">
        <f t="shared" si="1142"/>
        <v>#N/A</v>
      </c>
      <c r="O62" s="134" t="e">
        <f t="shared" si="1147"/>
        <v>#N/A</v>
      </c>
    </row>
    <row r="63">
      <c r="A63" s="235">
        <v>55</v>
      </c>
      <c r="B63" s="243" t="s">
        <v>134</v>
      </c>
      <c r="C63" s="237" t="s">
        <v>93</v>
      </c>
      <c r="D63" s="238" t="e">
        <f>VLOOKUP(B63,'[2]项目库建设情况统计表'!$C:$M,2,0)</f>
        <v>#N/A</v>
      </c>
      <c r="E63" s="238">
        <v>313</v>
      </c>
      <c r="F63" s="239" t="e">
        <f t="shared" si="1143"/>
        <v>#N/A</v>
      </c>
      <c r="G63" s="238" t="e">
        <f>VLOOKUP(B63,'[2]项目库建设情况统计表'!$C:$M,3,0)</f>
        <v>#N/A</v>
      </c>
      <c r="H63" s="238">
        <v>58707.754999999997</v>
      </c>
      <c r="I63" s="239" t="e">
        <f t="shared" si="1144"/>
        <v>#N/A</v>
      </c>
      <c r="J63" s="240">
        <v>126</v>
      </c>
      <c r="K63" s="239">
        <f t="shared" si="1145"/>
        <v>3.1444971300224597e-002</v>
      </c>
      <c r="L63" s="241">
        <v>0.37</v>
      </c>
      <c r="M63" s="239">
        <f t="shared" si="1146"/>
        <v>0</v>
      </c>
      <c r="N63" s="242" t="e">
        <f t="shared" si="1142"/>
        <v>#N/A</v>
      </c>
      <c r="O63" s="134" t="e">
        <f t="shared" si="1147"/>
        <v>#N/A</v>
      </c>
    </row>
    <row r="64">
      <c r="A64" s="235">
        <v>56</v>
      </c>
      <c r="B64" s="243" t="s">
        <v>135</v>
      </c>
      <c r="C64" s="237" t="s">
        <v>78</v>
      </c>
      <c r="D64" s="238" t="e">
        <f>VLOOKUP(B64,'[2]项目库建设情况统计表'!$C:$M,2,0)</f>
        <v>#N/A</v>
      </c>
      <c r="E64" s="238">
        <v>173</v>
      </c>
      <c r="F64" s="239" t="e">
        <f t="shared" si="1143"/>
        <v>#N/A</v>
      </c>
      <c r="G64" s="238" t="e">
        <f>VLOOKUP(B64,'[2]项目库建设情况统计表'!$C:$M,3,0)</f>
        <v>#N/A</v>
      </c>
      <c r="H64" s="238">
        <v>26105.740000000002</v>
      </c>
      <c r="I64" s="239" t="e">
        <f t="shared" si="1144"/>
        <v>#N/A</v>
      </c>
      <c r="J64" s="240">
        <v>1</v>
      </c>
      <c r="K64" s="239">
        <f t="shared" si="1145"/>
        <v>2.4956326428749701e-004</v>
      </c>
      <c r="L64" s="241">
        <v>2.e-002</v>
      </c>
      <c r="M64" s="239">
        <f t="shared" si="1146"/>
        <v>0</v>
      </c>
      <c r="N64" s="242" t="e">
        <f t="shared" si="1142"/>
        <v>#N/A</v>
      </c>
      <c r="O64" s="134" t="e">
        <f t="shared" si="1147"/>
        <v>#N/A</v>
      </c>
    </row>
    <row r="65">
      <c r="A65" s="228"/>
      <c r="B65" s="229" t="s">
        <v>381</v>
      </c>
      <c r="C65" s="230"/>
      <c r="D65" s="231"/>
      <c r="E65" s="231"/>
      <c r="F65" s="232"/>
      <c r="G65" s="231"/>
      <c r="H65" s="231"/>
      <c r="I65" s="232"/>
      <c r="J65" s="231"/>
      <c r="K65" s="232"/>
      <c r="L65" s="233"/>
      <c r="M65" s="232"/>
      <c r="N65" s="234"/>
    </row>
    <row r="66">
      <c r="A66" s="235">
        <v>57</v>
      </c>
      <c r="B66" s="243" t="s">
        <v>138</v>
      </c>
      <c r="C66" s="237" t="s">
        <v>90</v>
      </c>
      <c r="D66" s="238" t="e">
        <f>VLOOKUP(B66,'[2]项目库建设情况统计表'!$C:$M,2,0)</f>
        <v>#N/A</v>
      </c>
      <c r="E66" s="238">
        <v>34</v>
      </c>
      <c r="F66" s="239" t="e">
        <f t="shared" si="1143"/>
        <v>#N/A</v>
      </c>
      <c r="G66" s="238" t="e">
        <f>VLOOKUP(B66,'[2]项目库建设情况统计表'!$C:$M,3,0)</f>
        <v>#N/A</v>
      </c>
      <c r="H66" s="238">
        <v>29905</v>
      </c>
      <c r="I66" s="239" t="e">
        <f t="shared" si="1144"/>
        <v>#N/A</v>
      </c>
      <c r="J66" s="240">
        <v>16</v>
      </c>
      <c r="K66" s="239">
        <f t="shared" si="1145"/>
        <v>3.9930122285999504e-003</v>
      </c>
      <c r="L66" s="241">
        <v>0.92000000000000004</v>
      </c>
      <c r="M66" s="239">
        <f t="shared" si="1146"/>
        <v>0.92000000000000004</v>
      </c>
      <c r="N66" s="242" t="e">
        <f t="shared" si="1142"/>
        <v>#N/A</v>
      </c>
      <c r="O66" s="134" t="e">
        <f t="shared" si="1147"/>
        <v>#N/A</v>
      </c>
    </row>
    <row r="67">
      <c r="A67" s="235">
        <v>58</v>
      </c>
      <c r="B67" s="243" t="s">
        <v>139</v>
      </c>
      <c r="C67" s="237" t="s">
        <v>90</v>
      </c>
      <c r="D67" s="238" t="e">
        <f>VLOOKUP(B67,'[2]项目库建设情况统计表'!$C:$M,2,0)</f>
        <v>#N/A</v>
      </c>
      <c r="E67" s="238">
        <v>31</v>
      </c>
      <c r="F67" s="239" t="e">
        <f t="shared" si="1143"/>
        <v>#N/A</v>
      </c>
      <c r="G67" s="238" t="e">
        <f>VLOOKUP(B67,'[2]项目库建设情况统计表'!$C:$M,3,0)</f>
        <v>#N/A</v>
      </c>
      <c r="H67" s="238">
        <v>21898.950000000001</v>
      </c>
      <c r="I67" s="239" t="e">
        <f t="shared" si="1144"/>
        <v>#N/A</v>
      </c>
      <c r="J67" s="240">
        <v>2</v>
      </c>
      <c r="K67" s="239">
        <f t="shared" si="1145"/>
        <v>4.9912652857499401e-004</v>
      </c>
      <c r="L67" s="241">
        <v>1</v>
      </c>
      <c r="M67" s="239">
        <f t="shared" si="1146"/>
        <v>1</v>
      </c>
      <c r="N67" s="242" t="e">
        <f t="shared" si="1142"/>
        <v>#N/A</v>
      </c>
      <c r="O67" s="134" t="e">
        <f t="shared" si="1147"/>
        <v>#N/A</v>
      </c>
    </row>
    <row r="68">
      <c r="A68" s="235">
        <v>59</v>
      </c>
      <c r="B68" s="243" t="s">
        <v>140</v>
      </c>
      <c r="C68" s="237" t="s">
        <v>90</v>
      </c>
      <c r="D68" s="238" t="e">
        <f>VLOOKUP(B68,'[2]项目库建设情况统计表'!$C:$M,2,0)</f>
        <v>#N/A</v>
      </c>
      <c r="E68" s="238">
        <v>38</v>
      </c>
      <c r="F68" s="239" t="e">
        <f t="shared" si="1143"/>
        <v>#N/A</v>
      </c>
      <c r="G68" s="238" t="e">
        <f>VLOOKUP(B68,'[2]项目库建设情况统计表'!$C:$M,3,0)</f>
        <v>#N/A</v>
      </c>
      <c r="H68" s="238">
        <v>15780.049999999999</v>
      </c>
      <c r="I68" s="239" t="e">
        <f t="shared" si="1144"/>
        <v>#N/A</v>
      </c>
      <c r="J68" s="240">
        <v>22</v>
      </c>
      <c r="K68" s="239">
        <f t="shared" si="1145"/>
        <v>5.4903918143249303e-003</v>
      </c>
      <c r="L68" s="241">
        <v>0.66000000000000003</v>
      </c>
      <c r="M68" s="239">
        <f t="shared" si="1146"/>
        <v>0.66000000000000003</v>
      </c>
      <c r="N68" s="242" t="e">
        <f t="shared" si="1142"/>
        <v>#N/A</v>
      </c>
      <c r="O68" s="134" t="e">
        <f t="shared" si="1147"/>
        <v>#N/A</v>
      </c>
    </row>
    <row r="69">
      <c r="A69" s="235">
        <v>60</v>
      </c>
      <c r="B69" s="243" t="s">
        <v>141</v>
      </c>
      <c r="C69" s="237" t="s">
        <v>90</v>
      </c>
      <c r="D69" s="238" t="e">
        <f>VLOOKUP(B69,'[2]项目库建设情况统计表'!$C:$M,2,0)</f>
        <v>#N/A</v>
      </c>
      <c r="E69" s="238">
        <v>135</v>
      </c>
      <c r="F69" s="239" t="e">
        <f t="shared" si="1143"/>
        <v>#N/A</v>
      </c>
      <c r="G69" s="238" t="e">
        <f>VLOOKUP(B69,'[2]项目库建设情况统计表'!$C:$M,3,0)</f>
        <v>#N/A</v>
      </c>
      <c r="H69" s="238">
        <v>34261.468099999998</v>
      </c>
      <c r="I69" s="239" t="e">
        <f t="shared" si="1144"/>
        <v>#N/A</v>
      </c>
      <c r="J69" s="240">
        <v>115</v>
      </c>
      <c r="K69" s="239">
        <f t="shared" si="1145"/>
        <v>2.8699775393062101e-002</v>
      </c>
      <c r="L69" s="241">
        <v>0.83999999999999997</v>
      </c>
      <c r="M69" s="239">
        <f t="shared" si="1146"/>
        <v>0.83999999999999997</v>
      </c>
      <c r="N69" s="242" t="e">
        <f t="shared" si="1142"/>
        <v>#N/A</v>
      </c>
      <c r="O69" s="134" t="e">
        <f t="shared" si="1147"/>
        <v>#N/A</v>
      </c>
    </row>
    <row r="70">
      <c r="A70" s="235">
        <v>61</v>
      </c>
      <c r="B70" s="243" t="s">
        <v>142</v>
      </c>
      <c r="C70" s="237" t="s">
        <v>93</v>
      </c>
      <c r="D70" s="238" t="e">
        <f>VLOOKUP(B70,'[2]项目库建设情况统计表'!$C:$M,2,0)</f>
        <v>#N/A</v>
      </c>
      <c r="E70" s="238">
        <v>268</v>
      </c>
      <c r="F70" s="239" t="e">
        <f t="shared" si="1143"/>
        <v>#N/A</v>
      </c>
      <c r="G70" s="238" t="e">
        <f>VLOOKUP(B70,'[2]项目库建设情况统计表'!$C:$M,3,0)</f>
        <v>#N/A</v>
      </c>
      <c r="H70" s="238">
        <v>65133.853481999999</v>
      </c>
      <c r="I70" s="239" t="e">
        <f t="shared" si="1144"/>
        <v>#N/A</v>
      </c>
      <c r="J70" s="240">
        <v>189</v>
      </c>
      <c r="K70" s="239">
        <f t="shared" si="1145"/>
        <v>4.7167456950336903e-002</v>
      </c>
      <c r="L70" s="241">
        <v>1</v>
      </c>
      <c r="M70" s="239">
        <f t="shared" si="1146"/>
        <v>1</v>
      </c>
      <c r="N70" s="242" t="e">
        <f t="shared" si="1142"/>
        <v>#N/A</v>
      </c>
      <c r="O70" s="134" t="e">
        <f t="shared" si="1147"/>
        <v>#N/A</v>
      </c>
    </row>
    <row r="71">
      <c r="A71" s="235">
        <v>62</v>
      </c>
      <c r="B71" s="243" t="s">
        <v>143</v>
      </c>
      <c r="C71" s="237" t="s">
        <v>90</v>
      </c>
      <c r="D71" s="238" t="e">
        <f>VLOOKUP(B71,'[2]项目库建设情况统计表'!$C:$M,2,0)</f>
        <v>#N/A</v>
      </c>
      <c r="E71" s="238">
        <v>25</v>
      </c>
      <c r="F71" s="239" t="e">
        <f t="shared" si="1143"/>
        <v>#N/A</v>
      </c>
      <c r="G71" s="238" t="e">
        <f>VLOOKUP(B71,'[2]项目库建设情况统计表'!$C:$M,3,0)</f>
        <v>#N/A</v>
      </c>
      <c r="H71" s="238">
        <v>37204.900000000001</v>
      </c>
      <c r="I71" s="239" t="e">
        <f t="shared" si="1144"/>
        <v>#N/A</v>
      </c>
      <c r="J71" s="240"/>
      <c r="K71" s="239">
        <f t="shared" si="1145"/>
        <v>0</v>
      </c>
      <c r="L71" s="241">
        <v>1</v>
      </c>
      <c r="M71" s="239">
        <f t="shared" si="1146"/>
        <v>1</v>
      </c>
      <c r="N71" s="242" t="e">
        <f t="shared" si="1142"/>
        <v>#N/A</v>
      </c>
      <c r="O71" s="134" t="e">
        <f t="shared" si="1147"/>
        <v>#N/A</v>
      </c>
    </row>
    <row r="72">
      <c r="A72" s="235">
        <v>63</v>
      </c>
      <c r="B72" s="243" t="s">
        <v>144</v>
      </c>
      <c r="C72" s="237" t="s">
        <v>93</v>
      </c>
      <c r="D72" s="238" t="e">
        <f>VLOOKUP(B72,'[2]项目库建设情况统计表'!$C:$M,2,0)</f>
        <v>#N/A</v>
      </c>
      <c r="E72" s="238">
        <v>430</v>
      </c>
      <c r="F72" s="239" t="e">
        <f t="shared" si="1143"/>
        <v>#N/A</v>
      </c>
      <c r="G72" s="238" t="e">
        <f>VLOOKUP(B72,'[2]项目库建设情况统计表'!$C:$M,3,0)</f>
        <v>#N/A</v>
      </c>
      <c r="H72" s="238">
        <v>131378.79999999999</v>
      </c>
      <c r="I72" s="239" t="e">
        <f t="shared" si="1144"/>
        <v>#N/A</v>
      </c>
      <c r="J72" s="240">
        <v>84</v>
      </c>
      <c r="K72" s="239">
        <f t="shared" si="1145"/>
        <v>2.0963314200149699e-002</v>
      </c>
      <c r="L72" s="241">
        <v>0.69999999999999996</v>
      </c>
      <c r="M72" s="239">
        <f t="shared" si="1146"/>
        <v>0.69999999999999996</v>
      </c>
      <c r="N72" s="242" t="e">
        <f t="shared" si="1142"/>
        <v>#N/A</v>
      </c>
      <c r="O72" s="134" t="e">
        <f t="shared" si="1147"/>
        <v>#N/A</v>
      </c>
    </row>
    <row r="73">
      <c r="A73" s="235">
        <v>64</v>
      </c>
      <c r="B73" s="243" t="s">
        <v>145</v>
      </c>
      <c r="C73" s="237" t="s">
        <v>90</v>
      </c>
      <c r="D73" s="238" t="e">
        <f>VLOOKUP(B73,'[2]项目库建设情况统计表'!$C:$M,2,0)</f>
        <v>#N/A</v>
      </c>
      <c r="E73" s="238">
        <v>45</v>
      </c>
      <c r="F73" s="239" t="e">
        <f t="shared" si="1143"/>
        <v>#N/A</v>
      </c>
      <c r="G73" s="238" t="e">
        <f>VLOOKUP(B73,'[2]项目库建设情况统计表'!$C:$M,3,0)</f>
        <v>#N/A</v>
      </c>
      <c r="H73" s="238">
        <v>32105.169999999998</v>
      </c>
      <c r="I73" s="239" t="e">
        <f t="shared" si="1144"/>
        <v>#N/A</v>
      </c>
      <c r="J73" s="240">
        <v>18</v>
      </c>
      <c r="K73" s="239">
        <f t="shared" si="1145"/>
        <v>4.4921387571749396e-003</v>
      </c>
      <c r="L73" s="241">
        <v>1</v>
      </c>
      <c r="M73" s="239">
        <f t="shared" si="1146"/>
        <v>1</v>
      </c>
      <c r="N73" s="242" t="e">
        <f t="shared" si="1142"/>
        <v>#N/A</v>
      </c>
      <c r="O73" s="134" t="e">
        <f t="shared" si="1147"/>
        <v>#N/A</v>
      </c>
    </row>
    <row r="74">
      <c r="A74" s="228"/>
      <c r="B74" s="229" t="s">
        <v>382</v>
      </c>
      <c r="C74" s="230"/>
      <c r="D74" s="231"/>
      <c r="E74" s="231"/>
      <c r="F74" s="232"/>
      <c r="G74" s="231"/>
      <c r="H74" s="231"/>
      <c r="I74" s="232"/>
      <c r="J74" s="231"/>
      <c r="K74" s="232"/>
      <c r="L74" s="233"/>
      <c r="M74" s="232"/>
      <c r="N74" s="234"/>
    </row>
    <row r="75">
      <c r="A75" s="235">
        <v>65</v>
      </c>
      <c r="B75" s="243" t="s">
        <v>149</v>
      </c>
      <c r="C75" s="237" t="s">
        <v>78</v>
      </c>
      <c r="D75" s="238" t="e">
        <f>VLOOKUP(B75,'[2]项目库建设情况统计表'!$C:$M,2,0)</f>
        <v>#N/A</v>
      </c>
      <c r="E75" s="238">
        <v>103</v>
      </c>
      <c r="F75" s="239" t="e">
        <f t="shared" si="1143"/>
        <v>#N/A</v>
      </c>
      <c r="G75" s="238" t="e">
        <f>VLOOKUP(B75,'[2]项目库建设情况统计表'!$C:$M,3,0)</f>
        <v>#N/A</v>
      </c>
      <c r="H75" s="238">
        <v>41156.169999999998</v>
      </c>
      <c r="I75" s="239" t="e">
        <f t="shared" si="1144"/>
        <v>#N/A</v>
      </c>
      <c r="J75" s="240">
        <v>9</v>
      </c>
      <c r="K75" s="239">
        <f t="shared" si="1145"/>
        <v>2.2460693785874698e-003</v>
      </c>
      <c r="L75" s="241">
        <v>0.23999999999999999</v>
      </c>
      <c r="M75" s="239">
        <f t="shared" si="1146"/>
        <v>0</v>
      </c>
      <c r="N75" s="242" t="e">
        <f t="shared" si="1142"/>
        <v>#N/A</v>
      </c>
      <c r="O75" s="134" t="e">
        <f t="shared" si="1147"/>
        <v>#N/A</v>
      </c>
    </row>
    <row r="76">
      <c r="A76" s="235">
        <v>66</v>
      </c>
      <c r="B76" s="243" t="s">
        <v>150</v>
      </c>
      <c r="C76" s="237" t="s">
        <v>90</v>
      </c>
      <c r="D76" s="238" t="e">
        <f>VLOOKUP(B76,'[2]项目库建设情况统计表'!$C:$M,2,0)</f>
        <v>#N/A</v>
      </c>
      <c r="E76" s="238">
        <v>179</v>
      </c>
      <c r="F76" s="239" t="e">
        <f t="shared" si="1143"/>
        <v>#N/A</v>
      </c>
      <c r="G76" s="238" t="e">
        <f>VLOOKUP(B76,'[2]项目库建设情况统计表'!$C:$M,3,0)</f>
        <v>#N/A</v>
      </c>
      <c r="H76" s="238">
        <v>11214.727999999999</v>
      </c>
      <c r="I76" s="239" t="e">
        <f t="shared" si="1144"/>
        <v>#N/A</v>
      </c>
      <c r="J76" s="240">
        <v>2</v>
      </c>
      <c r="K76" s="239">
        <f t="shared" si="1145"/>
        <v>4.9912652857499401e-004</v>
      </c>
      <c r="L76" s="241">
        <v>0.38</v>
      </c>
      <c r="M76" s="239">
        <f t="shared" si="1146"/>
        <v>0</v>
      </c>
      <c r="N76" s="242" t="e">
        <f t="shared" si="1142"/>
        <v>#N/A</v>
      </c>
      <c r="O76" s="134" t="e">
        <f t="shared" si="1147"/>
        <v>#N/A</v>
      </c>
    </row>
    <row r="77">
      <c r="A77" s="235">
        <v>67</v>
      </c>
      <c r="B77" s="243" t="s">
        <v>151</v>
      </c>
      <c r="C77" s="237" t="s">
        <v>90</v>
      </c>
      <c r="D77" s="238" t="e">
        <f>VLOOKUP(B77,'[2]项目库建设情况统计表'!$C:$M,2,0)</f>
        <v>#N/A</v>
      </c>
      <c r="E77" s="238">
        <v>64</v>
      </c>
      <c r="F77" s="239" t="e">
        <f t="shared" si="1143"/>
        <v>#N/A</v>
      </c>
      <c r="G77" s="238" t="e">
        <f>VLOOKUP(B77,'[2]项目库建设情况统计表'!$C:$M,3,0)</f>
        <v>#N/A</v>
      </c>
      <c r="H77" s="238">
        <v>26438.630000000001</v>
      </c>
      <c r="I77" s="239" t="e">
        <f t="shared" si="1144"/>
        <v>#N/A</v>
      </c>
      <c r="J77" s="240">
        <v>14</v>
      </c>
      <c r="K77" s="239">
        <f t="shared" si="1145"/>
        <v>3.4938857000249598e-003</v>
      </c>
      <c r="L77" s="241">
        <v>0.28999999999999998</v>
      </c>
      <c r="M77" s="239">
        <f t="shared" si="1146"/>
        <v>0</v>
      </c>
      <c r="N77" s="242" t="e">
        <f t="shared" si="1142"/>
        <v>#N/A</v>
      </c>
      <c r="O77" s="134" t="e">
        <f t="shared" si="1147"/>
        <v>#N/A</v>
      </c>
    </row>
    <row r="78">
      <c r="A78" s="235">
        <v>68</v>
      </c>
      <c r="B78" s="243" t="s">
        <v>152</v>
      </c>
      <c r="C78" s="237" t="s">
        <v>90</v>
      </c>
      <c r="D78" s="238" t="e">
        <f>VLOOKUP(B78,'[2]项目库建设情况统计表'!$C:$M,2,0)</f>
        <v>#N/A</v>
      </c>
      <c r="E78" s="238">
        <v>107</v>
      </c>
      <c r="F78" s="239" t="e">
        <f t="shared" si="1143"/>
        <v>#N/A</v>
      </c>
      <c r="G78" s="238" t="e">
        <f>VLOOKUP(B78,'[2]项目库建设情况统计表'!$C:$M,3,0)</f>
        <v>#N/A</v>
      </c>
      <c r="H78" s="238">
        <v>41415.010000000002</v>
      </c>
      <c r="I78" s="239" t="e">
        <f t="shared" si="1144"/>
        <v>#N/A</v>
      </c>
      <c r="J78" s="240"/>
      <c r="K78" s="239">
        <f t="shared" si="1145"/>
        <v>0</v>
      </c>
      <c r="L78" s="241">
        <v>0.65000000000000002</v>
      </c>
      <c r="M78" s="239">
        <f t="shared" si="1146"/>
        <v>0.65000000000000002</v>
      </c>
      <c r="N78" s="242" t="e">
        <f t="shared" si="1142"/>
        <v>#N/A</v>
      </c>
      <c r="O78" s="134" t="e">
        <f t="shared" si="1147"/>
        <v>#N/A</v>
      </c>
    </row>
    <row r="79">
      <c r="A79" s="235">
        <v>69</v>
      </c>
      <c r="B79" s="243" t="s">
        <v>153</v>
      </c>
      <c r="C79" s="237" t="s">
        <v>90</v>
      </c>
      <c r="D79" s="238" t="e">
        <f>VLOOKUP(B79,'[2]项目库建设情况统计表'!$C:$M,2,0)</f>
        <v>#N/A</v>
      </c>
      <c r="E79" s="238">
        <v>154</v>
      </c>
      <c r="F79" s="239" t="e">
        <f t="shared" si="1143"/>
        <v>#N/A</v>
      </c>
      <c r="G79" s="238" t="e">
        <f>VLOOKUP(B79,'[2]项目库建设情况统计表'!$C:$M,3,0)</f>
        <v>#N/A</v>
      </c>
      <c r="H79" s="238">
        <v>69424.839600000007</v>
      </c>
      <c r="I79" s="239" t="e">
        <f t="shared" si="1144"/>
        <v>#N/A</v>
      </c>
      <c r="J79" s="240">
        <v>16</v>
      </c>
      <c r="K79" s="239">
        <f t="shared" si="1145"/>
        <v>3.9930122285999504e-003</v>
      </c>
      <c r="L79" s="241">
        <v>0.35999999999999999</v>
      </c>
      <c r="M79" s="239">
        <f t="shared" si="1146"/>
        <v>0</v>
      </c>
      <c r="N79" s="242" t="e">
        <f t="shared" si="1142"/>
        <v>#N/A</v>
      </c>
      <c r="O79" s="134" t="e">
        <f t="shared" si="1147"/>
        <v>#N/A</v>
      </c>
    </row>
    <row r="80">
      <c r="A80" s="235">
        <v>70</v>
      </c>
      <c r="B80" s="243" t="s">
        <v>154</v>
      </c>
      <c r="C80" s="237" t="s">
        <v>90</v>
      </c>
      <c r="D80" s="238" t="e">
        <f>VLOOKUP(B80,'[2]项目库建设情况统计表'!$C:$M,2,0)</f>
        <v>#N/A</v>
      </c>
      <c r="E80" s="238">
        <v>72</v>
      </c>
      <c r="F80" s="239" t="e">
        <f t="shared" si="1143"/>
        <v>#N/A</v>
      </c>
      <c r="G80" s="238" t="e">
        <f>VLOOKUP(B80,'[2]项目库建设情况统计表'!$C:$M,3,0)</f>
        <v>#N/A</v>
      </c>
      <c r="H80" s="238">
        <v>26356.5</v>
      </c>
      <c r="I80" s="239" t="e">
        <f t="shared" si="1144"/>
        <v>#N/A</v>
      </c>
      <c r="J80" s="240">
        <v>25</v>
      </c>
      <c r="K80" s="239">
        <f t="shared" si="1145"/>
        <v>6.2390816071874198e-003</v>
      </c>
      <c r="L80" s="241">
        <v>0.69999999999999996</v>
      </c>
      <c r="M80" s="239">
        <f t="shared" si="1146"/>
        <v>0.69999999999999996</v>
      </c>
      <c r="N80" s="242" t="e">
        <f t="shared" si="1142"/>
        <v>#N/A</v>
      </c>
      <c r="O80" s="134" t="e">
        <f t="shared" si="1147"/>
        <v>#N/A</v>
      </c>
    </row>
    <row r="81">
      <c r="A81" s="235">
        <v>71</v>
      </c>
      <c r="B81" s="243" t="s">
        <v>155</v>
      </c>
      <c r="C81" s="237" t="s">
        <v>93</v>
      </c>
      <c r="D81" s="238" t="e">
        <f>VLOOKUP(B81,'[2]项目库建设情况统计表'!$C:$M,2,0)</f>
        <v>#N/A</v>
      </c>
      <c r="E81" s="238">
        <v>214</v>
      </c>
      <c r="F81" s="239" t="e">
        <f t="shared" si="1143"/>
        <v>#N/A</v>
      </c>
      <c r="G81" s="238" t="e">
        <f>VLOOKUP(B81,'[2]项目库建设情况统计表'!$C:$M,3,0)</f>
        <v>#N/A</v>
      </c>
      <c r="H81" s="238">
        <v>26267.504000000001</v>
      </c>
      <c r="I81" s="239" t="e">
        <f t="shared" si="1144"/>
        <v>#N/A</v>
      </c>
      <c r="J81" s="240">
        <v>112</v>
      </c>
      <c r="K81" s="239">
        <f t="shared" si="1145"/>
        <v>2.7951085600199699e-002</v>
      </c>
      <c r="L81" s="241">
        <v>0.54000000000000004</v>
      </c>
      <c r="M81" s="239">
        <f t="shared" si="1146"/>
        <v>0.54000000000000004</v>
      </c>
      <c r="N81" s="242" t="e">
        <f t="shared" ref="N81:N99" si="1148">(F81*0.25+I81*0.25-K81*0.25+M81*0.25)*10000</f>
        <v>#N/A</v>
      </c>
      <c r="O81" s="134" t="e">
        <f t="shared" si="1147"/>
        <v>#N/A</v>
      </c>
    </row>
    <row r="82">
      <c r="A82" s="235">
        <v>72</v>
      </c>
      <c r="B82" s="243" t="s">
        <v>156</v>
      </c>
      <c r="C82" s="237" t="s">
        <v>90</v>
      </c>
      <c r="D82" s="238" t="e">
        <f>VLOOKUP(B82,'[2]项目库建设情况统计表'!$C:$M,2,0)</f>
        <v>#N/A</v>
      </c>
      <c r="E82" s="238">
        <v>77</v>
      </c>
      <c r="F82" s="239" t="e">
        <f t="shared" si="1143"/>
        <v>#N/A</v>
      </c>
      <c r="G82" s="238" t="e">
        <f>VLOOKUP(B82,'[2]项目库建设情况统计表'!$C:$M,3,0)</f>
        <v>#N/A</v>
      </c>
      <c r="H82" s="238">
        <v>16707.395</v>
      </c>
      <c r="I82" s="239" t="e">
        <f t="shared" si="1144"/>
        <v>#N/A</v>
      </c>
      <c r="J82" s="240">
        <v>28</v>
      </c>
      <c r="K82" s="239">
        <f t="shared" si="1145"/>
        <v>6.9877714000499101e-003</v>
      </c>
      <c r="L82" s="241">
        <v>0.55000000000000004</v>
      </c>
      <c r="M82" s="239">
        <f t="shared" si="1146"/>
        <v>0.55000000000000004</v>
      </c>
      <c r="N82" s="242" t="e">
        <f t="shared" si="1148"/>
        <v>#N/A</v>
      </c>
      <c r="O82" s="134" t="e">
        <f t="shared" si="1147"/>
        <v>#N/A</v>
      </c>
    </row>
    <row r="83">
      <c r="A83" s="235">
        <v>73</v>
      </c>
      <c r="B83" s="243" t="s">
        <v>157</v>
      </c>
      <c r="C83" s="237" t="s">
        <v>93</v>
      </c>
      <c r="D83" s="238" t="e">
        <f>VLOOKUP(B83,'[2]项目库建设情况统计表'!$C:$M,2,0)</f>
        <v>#N/A</v>
      </c>
      <c r="E83" s="238">
        <v>210</v>
      </c>
      <c r="F83" s="239" t="e">
        <f t="shared" si="1143"/>
        <v>#N/A</v>
      </c>
      <c r="G83" s="238" t="e">
        <f>VLOOKUP(B83,'[2]项目库建设情况统计表'!$C:$M,3,0)</f>
        <v>#N/A</v>
      </c>
      <c r="H83" s="238">
        <v>39251.900000000001</v>
      </c>
      <c r="I83" s="239" t="e">
        <f t="shared" si="1144"/>
        <v>#N/A</v>
      </c>
      <c r="J83" s="240">
        <v>5</v>
      </c>
      <c r="K83" s="239">
        <f t="shared" si="1145"/>
        <v>1.24781632143748e-003</v>
      </c>
      <c r="L83" s="241">
        <v>0.22</v>
      </c>
      <c r="M83" s="239">
        <f t="shared" si="1146"/>
        <v>0</v>
      </c>
      <c r="N83" s="242" t="e">
        <f t="shared" si="1148"/>
        <v>#N/A</v>
      </c>
      <c r="O83" s="134" t="e">
        <f t="shared" si="1147"/>
        <v>#N/A</v>
      </c>
    </row>
    <row r="84">
      <c r="A84" s="235">
        <v>74</v>
      </c>
      <c r="B84" s="243" t="s">
        <v>158</v>
      </c>
      <c r="C84" s="237" t="s">
        <v>90</v>
      </c>
      <c r="D84" s="238" t="e">
        <f>VLOOKUP(B84,'[2]项目库建设情况统计表'!$C:$M,2,0)</f>
        <v>#N/A</v>
      </c>
      <c r="E84" s="238">
        <v>236</v>
      </c>
      <c r="F84" s="239" t="e">
        <f t="shared" ref="F84:F99" si="1149">IF((E84-D84)&gt;0,1*E84/$E$149,0)</f>
        <v>#N/A</v>
      </c>
      <c r="G84" s="238" t="e">
        <f>VLOOKUP(B84,'[2]项目库建设情况统计表'!$C:$M,3,0)</f>
        <v>#N/A</v>
      </c>
      <c r="H84" s="238">
        <v>66064.699999999997</v>
      </c>
      <c r="I84" s="239" t="e">
        <f t="shared" ref="I84:I99" si="1150">IF((H84-G84)&gt;0,1*H84/$H$149,0)</f>
        <v>#N/A</v>
      </c>
      <c r="J84" s="240">
        <v>45</v>
      </c>
      <c r="K84" s="239">
        <f t="shared" ref="K84:K99" si="1151">J84/$J$149</f>
        <v>1.12303468929374e-002</v>
      </c>
      <c r="L84" s="241">
        <v>0.23999999999999999</v>
      </c>
      <c r="M84" s="239">
        <f t="shared" ref="M84:M99" si="1152">IF(L84&gt;=50%,1*L84,0)</f>
        <v>0</v>
      </c>
      <c r="N84" s="242" t="e">
        <f t="shared" si="1148"/>
        <v>#N/A</v>
      </c>
      <c r="O84" s="134" t="e">
        <f t="shared" ref="O84:O99" si="1153">IF(N84&gt;0,1*N84,0)</f>
        <v>#N/A</v>
      </c>
    </row>
    <row r="85" ht="27">
      <c r="A85" s="228"/>
      <c r="B85" s="229" t="s">
        <v>460</v>
      </c>
      <c r="C85" s="230"/>
      <c r="D85" s="231"/>
      <c r="E85" s="231"/>
      <c r="F85" s="232"/>
      <c r="G85" s="231"/>
      <c r="H85" s="231"/>
      <c r="I85" s="232"/>
      <c r="J85" s="231"/>
      <c r="K85" s="232"/>
      <c r="L85" s="233"/>
      <c r="M85" s="232"/>
      <c r="N85" s="234"/>
    </row>
    <row r="86">
      <c r="A86" s="235">
        <v>75</v>
      </c>
      <c r="B86" s="243" t="s">
        <v>161</v>
      </c>
      <c r="C86" s="237" t="s">
        <v>78</v>
      </c>
      <c r="D86" s="238" t="e">
        <f>VLOOKUP(B86,'[2]项目库建设情况统计表'!$C:$M,2,0)</f>
        <v>#N/A</v>
      </c>
      <c r="E86" s="238">
        <v>173</v>
      </c>
      <c r="F86" s="239" t="e">
        <f t="shared" si="1149"/>
        <v>#N/A</v>
      </c>
      <c r="G86" s="238" t="e">
        <f>VLOOKUP(B86,'[2]项目库建设情况统计表'!$C:$M,3,0)</f>
        <v>#N/A</v>
      </c>
      <c r="H86" s="238">
        <v>24806.279999999999</v>
      </c>
      <c r="I86" s="239" t="e">
        <f t="shared" si="1150"/>
        <v>#N/A</v>
      </c>
      <c r="J86" s="240">
        <v>13</v>
      </c>
      <c r="K86" s="239">
        <f t="shared" si="1151"/>
        <v>3.24432243573746e-003</v>
      </c>
      <c r="L86" s="241">
        <v>0.11</v>
      </c>
      <c r="M86" s="239">
        <f t="shared" si="1152"/>
        <v>0</v>
      </c>
      <c r="N86" s="242" t="e">
        <f t="shared" si="1148"/>
        <v>#N/A</v>
      </c>
      <c r="O86" s="134" t="e">
        <f t="shared" si="1153"/>
        <v>#N/A</v>
      </c>
    </row>
    <row r="87">
      <c r="A87" s="235">
        <v>76</v>
      </c>
      <c r="B87" s="243" t="s">
        <v>162</v>
      </c>
      <c r="C87" s="237" t="s">
        <v>90</v>
      </c>
      <c r="D87" s="238" t="e">
        <f>VLOOKUP(B87,'[2]项目库建设情况统计表'!$C:$M,2,0)</f>
        <v>#N/A</v>
      </c>
      <c r="E87" s="238">
        <v>126</v>
      </c>
      <c r="F87" s="239" t="e">
        <f t="shared" si="1149"/>
        <v>#N/A</v>
      </c>
      <c r="G87" s="238" t="e">
        <f>VLOOKUP(B87,'[2]项目库建设情况统计表'!$C:$M,3,0)</f>
        <v>#N/A</v>
      </c>
      <c r="H87" s="238">
        <v>144000.37719999999</v>
      </c>
      <c r="I87" s="239" t="e">
        <f t="shared" si="1150"/>
        <v>#N/A</v>
      </c>
      <c r="J87" s="240">
        <v>1</v>
      </c>
      <c r="K87" s="239">
        <f t="shared" si="1151"/>
        <v>2.4956326428749701e-004</v>
      </c>
      <c r="L87" s="241">
        <v>5.0000000000000003e-002</v>
      </c>
      <c r="M87" s="239">
        <f t="shared" si="1152"/>
        <v>0</v>
      </c>
      <c r="N87" s="242" t="e">
        <f t="shared" si="1148"/>
        <v>#N/A</v>
      </c>
      <c r="O87" s="134" t="e">
        <f t="shared" si="1153"/>
        <v>#N/A</v>
      </c>
    </row>
    <row r="88">
      <c r="A88" s="235">
        <v>77</v>
      </c>
      <c r="B88" s="243" t="s">
        <v>163</v>
      </c>
      <c r="C88" s="237" t="s">
        <v>90</v>
      </c>
      <c r="D88" s="238" t="e">
        <f>VLOOKUP(B88,'[2]项目库建设情况统计表'!$C:$M,2,0)</f>
        <v>#N/A</v>
      </c>
      <c r="E88" s="238">
        <v>22</v>
      </c>
      <c r="F88" s="239" t="e">
        <f t="shared" si="1149"/>
        <v>#N/A</v>
      </c>
      <c r="G88" s="238" t="e">
        <f>VLOOKUP(B88,'[2]项目库建设情况统计表'!$C:$M,3,0)</f>
        <v>#N/A</v>
      </c>
      <c r="H88" s="238">
        <v>14040</v>
      </c>
      <c r="I88" s="239" t="e">
        <f t="shared" si="1150"/>
        <v>#N/A</v>
      </c>
      <c r="J88" s="240">
        <v>19</v>
      </c>
      <c r="K88" s="239">
        <f t="shared" si="1151"/>
        <v>4.7417020214624399e-003</v>
      </c>
      <c r="L88" s="241">
        <v>0.88</v>
      </c>
      <c r="M88" s="239">
        <f t="shared" si="1152"/>
        <v>0.88</v>
      </c>
      <c r="N88" s="242" t="e">
        <f t="shared" si="1148"/>
        <v>#N/A</v>
      </c>
      <c r="O88" s="134" t="e">
        <f t="shared" si="1153"/>
        <v>#N/A</v>
      </c>
    </row>
    <row r="89">
      <c r="A89" s="228"/>
      <c r="B89" s="229" t="s">
        <v>459</v>
      </c>
      <c r="C89" s="230"/>
      <c r="D89" s="231"/>
      <c r="E89" s="231"/>
      <c r="F89" s="232"/>
      <c r="G89" s="231"/>
      <c r="H89" s="231"/>
      <c r="I89" s="232"/>
      <c r="J89" s="231"/>
      <c r="K89" s="232"/>
      <c r="L89" s="233"/>
      <c r="M89" s="232"/>
      <c r="N89" s="234"/>
    </row>
    <row r="90">
      <c r="A90" s="235">
        <v>78</v>
      </c>
      <c r="B90" s="243" t="s">
        <v>166</v>
      </c>
      <c r="C90" s="237" t="s">
        <v>78</v>
      </c>
      <c r="D90" s="238" t="e">
        <f>VLOOKUP(B90,'[2]项目库建设情况统计表'!$C:$M,2,0)</f>
        <v>#N/A</v>
      </c>
      <c r="E90" s="238">
        <v>403</v>
      </c>
      <c r="F90" s="239" t="e">
        <f t="shared" si="1149"/>
        <v>#N/A</v>
      </c>
      <c r="G90" s="238" t="e">
        <f>VLOOKUP(B90,'[2]项目库建设情况统计表'!$C:$M,3,0)</f>
        <v>#N/A</v>
      </c>
      <c r="H90" s="238">
        <v>17202.289400000001</v>
      </c>
      <c r="I90" s="239" t="e">
        <f t="shared" si="1150"/>
        <v>#N/A</v>
      </c>
      <c r="J90" s="240">
        <v>49</v>
      </c>
      <c r="K90" s="239">
        <f t="shared" si="1151"/>
        <v>1.22285999500873e-002</v>
      </c>
      <c r="L90" s="241">
        <v>0.20999999999999999</v>
      </c>
      <c r="M90" s="239">
        <f t="shared" si="1152"/>
        <v>0</v>
      </c>
      <c r="N90" s="242" t="e">
        <f t="shared" si="1148"/>
        <v>#N/A</v>
      </c>
      <c r="O90" s="134" t="e">
        <f t="shared" si="1153"/>
        <v>#N/A</v>
      </c>
    </row>
    <row r="91">
      <c r="A91" s="235">
        <v>79</v>
      </c>
      <c r="B91" s="243" t="s">
        <v>167</v>
      </c>
      <c r="C91" s="237" t="s">
        <v>90</v>
      </c>
      <c r="D91" s="238" t="e">
        <f>VLOOKUP(B91,'[2]项目库建设情况统计表'!$C:$M,2,0)</f>
        <v>#N/A</v>
      </c>
      <c r="E91" s="238">
        <v>172</v>
      </c>
      <c r="F91" s="239" t="e">
        <f t="shared" si="1149"/>
        <v>#N/A</v>
      </c>
      <c r="G91" s="238" t="e">
        <f>VLOOKUP(B91,'[2]项目库建设情况统计表'!$C:$M,3,0)</f>
        <v>#N/A</v>
      </c>
      <c r="H91" s="238">
        <v>33574.108</v>
      </c>
      <c r="I91" s="239" t="e">
        <f t="shared" si="1150"/>
        <v>#N/A</v>
      </c>
      <c r="J91" s="240">
        <v>66</v>
      </c>
      <c r="K91" s="239">
        <f t="shared" si="1151"/>
        <v>1.64711754429748e-002</v>
      </c>
      <c r="L91" s="241">
        <v>0.34000000000000002</v>
      </c>
      <c r="M91" s="239">
        <f t="shared" si="1152"/>
        <v>0</v>
      </c>
      <c r="N91" s="242" t="e">
        <f t="shared" si="1148"/>
        <v>#N/A</v>
      </c>
      <c r="O91" s="134" t="e">
        <f t="shared" si="1153"/>
        <v>#N/A</v>
      </c>
    </row>
    <row r="92">
      <c r="A92" s="235">
        <v>80</v>
      </c>
      <c r="B92" s="243" t="s">
        <v>168</v>
      </c>
      <c r="C92" s="237" t="s">
        <v>90</v>
      </c>
      <c r="D92" s="238" t="e">
        <f>VLOOKUP(B92,'[2]项目库建设情况统计表'!$C:$M,2,0)</f>
        <v>#N/A</v>
      </c>
      <c r="E92" s="238">
        <v>145</v>
      </c>
      <c r="F92" s="239" t="e">
        <f t="shared" si="1149"/>
        <v>#N/A</v>
      </c>
      <c r="G92" s="238" t="e">
        <f>VLOOKUP(B92,'[2]项目库建设情况统计表'!$C:$M,3,0)</f>
        <v>#N/A</v>
      </c>
      <c r="H92" s="238">
        <v>21388.619999999999</v>
      </c>
      <c r="I92" s="239" t="e">
        <f t="shared" si="1150"/>
        <v>#N/A</v>
      </c>
      <c r="J92" s="240">
        <v>4</v>
      </c>
      <c r="K92" s="239">
        <f t="shared" si="1151"/>
        <v>9.9825305714998803e-004</v>
      </c>
      <c r="L92" s="241">
        <v>0.33000000000000002</v>
      </c>
      <c r="M92" s="239">
        <f t="shared" si="1152"/>
        <v>0</v>
      </c>
      <c r="N92" s="242" t="e">
        <f t="shared" si="1148"/>
        <v>#N/A</v>
      </c>
      <c r="O92" s="134" t="e">
        <f t="shared" si="1153"/>
        <v>#N/A</v>
      </c>
    </row>
    <row r="93">
      <c r="A93" s="235">
        <v>81</v>
      </c>
      <c r="B93" s="243" t="s">
        <v>169</v>
      </c>
      <c r="C93" s="237" t="s">
        <v>90</v>
      </c>
      <c r="D93" s="238" t="e">
        <f>VLOOKUP(B93,'[2]项目库建设情况统计表'!$C:$M,2,0)</f>
        <v>#N/A</v>
      </c>
      <c r="E93" s="238">
        <v>118</v>
      </c>
      <c r="F93" s="239" t="e">
        <f t="shared" si="1149"/>
        <v>#N/A</v>
      </c>
      <c r="G93" s="238" t="e">
        <f>VLOOKUP(B93,'[2]项目库建设情况统计表'!$C:$M,3,0)</f>
        <v>#N/A</v>
      </c>
      <c r="H93" s="238">
        <v>28664.825000000001</v>
      </c>
      <c r="I93" s="239" t="e">
        <f t="shared" si="1150"/>
        <v>#N/A</v>
      </c>
      <c r="J93" s="240">
        <v>19</v>
      </c>
      <c r="K93" s="239">
        <f t="shared" si="1151"/>
        <v>4.7417020214624399e-003</v>
      </c>
      <c r="L93" s="241">
        <v>0.77000000000000002</v>
      </c>
      <c r="M93" s="239">
        <f t="shared" si="1152"/>
        <v>0.77000000000000002</v>
      </c>
      <c r="N93" s="242" t="e">
        <f t="shared" si="1148"/>
        <v>#N/A</v>
      </c>
      <c r="O93" s="134" t="e">
        <f t="shared" si="1153"/>
        <v>#N/A</v>
      </c>
    </row>
    <row r="94">
      <c r="A94" s="235">
        <v>82</v>
      </c>
      <c r="B94" s="243" t="s">
        <v>170</v>
      </c>
      <c r="C94" s="237" t="s">
        <v>90</v>
      </c>
      <c r="D94" s="238" t="e">
        <f>VLOOKUP(B94,'[2]项目库建设情况统计表'!$C:$M,2,0)</f>
        <v>#N/A</v>
      </c>
      <c r="E94" s="238">
        <v>58</v>
      </c>
      <c r="F94" s="239" t="e">
        <f t="shared" si="1149"/>
        <v>#N/A</v>
      </c>
      <c r="G94" s="238" t="e">
        <f>VLOOKUP(B94,'[2]项目库建设情况统计表'!$C:$M,3,0)</f>
        <v>#N/A</v>
      </c>
      <c r="H94" s="238">
        <v>14692.42</v>
      </c>
      <c r="I94" s="239" t="e">
        <f t="shared" si="1150"/>
        <v>#N/A</v>
      </c>
      <c r="J94" s="240">
        <v>7</v>
      </c>
      <c r="K94" s="239">
        <f t="shared" si="1151"/>
        <v>1.7469428500124799e-003</v>
      </c>
      <c r="L94" s="241">
        <v>0.95999999999999996</v>
      </c>
      <c r="M94" s="239">
        <f t="shared" si="1152"/>
        <v>0.95999999999999996</v>
      </c>
      <c r="N94" s="242" t="e">
        <f t="shared" si="1148"/>
        <v>#N/A</v>
      </c>
      <c r="O94" s="134" t="e">
        <f t="shared" si="1153"/>
        <v>#N/A</v>
      </c>
    </row>
    <row r="95">
      <c r="A95" s="235">
        <v>83</v>
      </c>
      <c r="B95" s="243" t="s">
        <v>171</v>
      </c>
      <c r="C95" s="237" t="s">
        <v>90</v>
      </c>
      <c r="D95" s="238" t="e">
        <f>VLOOKUP(B95,'[2]项目库建设情况统计表'!$C:$M,2,0)</f>
        <v>#N/A</v>
      </c>
      <c r="E95" s="238">
        <v>51</v>
      </c>
      <c r="F95" s="239" t="e">
        <f t="shared" si="1149"/>
        <v>#N/A</v>
      </c>
      <c r="G95" s="238" t="e">
        <f>VLOOKUP(B95,'[2]项目库建设情况统计表'!$C:$M,3,0)</f>
        <v>#N/A</v>
      </c>
      <c r="H95" s="238">
        <v>9279.4099999999999</v>
      </c>
      <c r="I95" s="239" t="e">
        <f t="shared" si="1150"/>
        <v>#N/A</v>
      </c>
      <c r="J95" s="240">
        <v>2</v>
      </c>
      <c r="K95" s="239">
        <f t="shared" si="1151"/>
        <v>4.9912652857499401e-004</v>
      </c>
      <c r="L95" s="241">
        <v>0.84999999999999998</v>
      </c>
      <c r="M95" s="239">
        <f t="shared" si="1152"/>
        <v>0.84999999999999998</v>
      </c>
      <c r="N95" s="242" t="e">
        <f t="shared" si="1148"/>
        <v>#N/A</v>
      </c>
      <c r="O95" s="134" t="e">
        <f t="shared" si="1153"/>
        <v>#N/A</v>
      </c>
    </row>
    <row r="96">
      <c r="A96" s="235">
        <v>84</v>
      </c>
      <c r="B96" s="243" t="s">
        <v>172</v>
      </c>
      <c r="C96" s="237" t="s">
        <v>90</v>
      </c>
      <c r="D96" s="238" t="e">
        <f>VLOOKUP(B96,'[2]项目库建设情况统计表'!$C:$M,2,0)</f>
        <v>#N/A</v>
      </c>
      <c r="E96" s="238">
        <v>52</v>
      </c>
      <c r="F96" s="239" t="e">
        <f t="shared" si="1149"/>
        <v>#N/A</v>
      </c>
      <c r="G96" s="238" t="e">
        <f>VLOOKUP(B96,'[2]项目库建设情况统计表'!$C:$M,3,0)</f>
        <v>#N/A</v>
      </c>
      <c r="H96" s="238">
        <v>7824.9200000000001</v>
      </c>
      <c r="I96" s="239" t="e">
        <f t="shared" si="1150"/>
        <v>#N/A</v>
      </c>
      <c r="J96" s="240"/>
      <c r="K96" s="239">
        <f t="shared" si="1151"/>
        <v>0</v>
      </c>
      <c r="L96" s="241">
        <v>1</v>
      </c>
      <c r="M96" s="239">
        <f t="shared" si="1152"/>
        <v>1</v>
      </c>
      <c r="N96" s="242" t="e">
        <f t="shared" si="1148"/>
        <v>#N/A</v>
      </c>
      <c r="O96" s="134" t="e">
        <f t="shared" si="1153"/>
        <v>#N/A</v>
      </c>
    </row>
    <row r="97">
      <c r="A97" s="235">
        <v>85</v>
      </c>
      <c r="B97" s="243" t="s">
        <v>173</v>
      </c>
      <c r="C97" s="237" t="s">
        <v>78</v>
      </c>
      <c r="D97" s="238" t="e">
        <f>VLOOKUP(B97,'[2]项目库建设情况统计表'!$C:$M,2,0)</f>
        <v>#N/A</v>
      </c>
      <c r="E97" s="238">
        <v>271</v>
      </c>
      <c r="F97" s="239" t="e">
        <f t="shared" si="1149"/>
        <v>#N/A</v>
      </c>
      <c r="G97" s="238" t="e">
        <f>VLOOKUP(B97,'[2]项目库建设情况统计表'!$C:$M,3,0)</f>
        <v>#N/A</v>
      </c>
      <c r="H97" s="238">
        <v>15259.3418</v>
      </c>
      <c r="I97" s="239" t="e">
        <f t="shared" si="1150"/>
        <v>#N/A</v>
      </c>
      <c r="J97" s="240">
        <v>8</v>
      </c>
      <c r="K97" s="239">
        <f t="shared" si="1151"/>
        <v>1.99650611429998e-003</v>
      </c>
      <c r="L97" s="241">
        <v>0.34999999999999998</v>
      </c>
      <c r="M97" s="239">
        <f t="shared" si="1152"/>
        <v>0</v>
      </c>
      <c r="N97" s="242" t="e">
        <f t="shared" si="1148"/>
        <v>#N/A</v>
      </c>
      <c r="O97" s="134" t="e">
        <f t="shared" si="1153"/>
        <v>#N/A</v>
      </c>
    </row>
    <row r="98">
      <c r="A98" s="235">
        <v>86</v>
      </c>
      <c r="B98" s="243" t="s">
        <v>174</v>
      </c>
      <c r="C98" s="237" t="s">
        <v>93</v>
      </c>
      <c r="D98" s="238" t="e">
        <f>VLOOKUP(B98,'[2]项目库建设情况统计表'!$C:$M,2,0)</f>
        <v>#N/A</v>
      </c>
      <c r="E98" s="238">
        <v>213</v>
      </c>
      <c r="F98" s="239" t="e">
        <f t="shared" si="1149"/>
        <v>#N/A</v>
      </c>
      <c r="G98" s="238" t="e">
        <f>VLOOKUP(B98,'[2]项目库建设情况统计表'!$C:$M,3,0)</f>
        <v>#N/A</v>
      </c>
      <c r="H98" s="238">
        <v>50408.389999999999</v>
      </c>
      <c r="I98" s="239" t="e">
        <f t="shared" si="1150"/>
        <v>#N/A</v>
      </c>
      <c r="J98" s="240">
        <v>39</v>
      </c>
      <c r="K98" s="239">
        <f t="shared" si="1151"/>
        <v>9.7329673072123792e-003</v>
      </c>
      <c r="L98" s="241">
        <v>0.46000000000000002</v>
      </c>
      <c r="M98" s="239">
        <f t="shared" si="1152"/>
        <v>0</v>
      </c>
      <c r="N98" s="242" t="e">
        <f t="shared" si="1148"/>
        <v>#N/A</v>
      </c>
      <c r="O98" s="134" t="e">
        <f t="shared" si="1153"/>
        <v>#N/A</v>
      </c>
    </row>
    <row r="99">
      <c r="A99" s="235">
        <v>87</v>
      </c>
      <c r="B99" s="243" t="s">
        <v>175</v>
      </c>
      <c r="C99" s="237" t="s">
        <v>78</v>
      </c>
      <c r="D99" s="238" t="e">
        <f>VLOOKUP(B99,'[2]项目库建设情况统计表'!$C:$M,2,0)</f>
        <v>#N/A</v>
      </c>
      <c r="E99" s="238">
        <v>30</v>
      </c>
      <c r="F99" s="239" t="e">
        <f t="shared" si="1149"/>
        <v>#N/A</v>
      </c>
      <c r="G99" s="238" t="e">
        <f>VLOOKUP(B99,'[2]项目库建设情况统计表'!$C:$M,3,0)</f>
        <v>#N/A</v>
      </c>
      <c r="H99" s="238">
        <v>46062.883999999998</v>
      </c>
      <c r="I99" s="239" t="e">
        <f t="shared" si="1150"/>
        <v>#N/A</v>
      </c>
      <c r="J99" s="240">
        <v>15</v>
      </c>
      <c r="K99" s="239">
        <f t="shared" si="1151"/>
        <v>3.7434489643124501e-003</v>
      </c>
      <c r="L99" s="241">
        <v>0.5</v>
      </c>
      <c r="M99" s="239">
        <f t="shared" si="1152"/>
        <v>0.5</v>
      </c>
      <c r="N99" s="242" t="e">
        <f t="shared" si="1148"/>
        <v>#N/A</v>
      </c>
      <c r="O99" s="134" t="e">
        <f t="shared" si="1153"/>
        <v>#N/A</v>
      </c>
    </row>
    <row r="100">
      <c r="A100" s="228"/>
      <c r="B100" s="229" t="s">
        <v>461</v>
      </c>
      <c r="C100" s="230"/>
      <c r="D100" s="231"/>
      <c r="E100" s="231"/>
      <c r="F100" s="232"/>
      <c r="G100" s="231"/>
      <c r="H100" s="231"/>
      <c r="I100" s="232"/>
      <c r="J100" s="231"/>
      <c r="K100" s="232"/>
      <c r="L100" s="233"/>
      <c r="M100" s="232"/>
      <c r="N100" s="234"/>
    </row>
    <row r="101">
      <c r="A101" s="235">
        <v>88</v>
      </c>
      <c r="B101" s="243" t="s">
        <v>178</v>
      </c>
      <c r="C101" s="237" t="s">
        <v>78</v>
      </c>
      <c r="D101" s="238" t="e">
        <f>VLOOKUP(B101,[2]项目库建设情况统计表!$C:$M,2,0)</f>
        <v>#N/A</v>
      </c>
      <c r="E101" s="238">
        <v>41</v>
      </c>
      <c r="F101" s="239" t="e">
        <f t="shared" ref="F101:F148" si="1154">IF((E101-D101)&gt;0,1*E101/$E$149,0)</f>
        <v>#N/A</v>
      </c>
      <c r="G101" s="238" t="e">
        <f>VLOOKUP(B101,[2]项目库建设情况统计表!$C:$M,3,0)</f>
        <v>#N/A</v>
      </c>
      <c r="H101" s="238">
        <v>3781.8200000000002</v>
      </c>
      <c r="I101" s="239" t="e">
        <f t="shared" ref="I101:I148" si="1155">IF((H101-G101)&gt;0,1*H101/$H$149,0)</f>
        <v>#N/A</v>
      </c>
      <c r="J101" s="240"/>
      <c r="K101" s="239">
        <f t="shared" ref="K101:K148" si="1156">J101/$J$149</f>
        <v>0</v>
      </c>
      <c r="L101" s="241">
        <v>0.97999999999999998</v>
      </c>
      <c r="M101" s="239">
        <f t="shared" ref="M101:M148" si="1157">IF(L101&gt;=50%,1*L101,0)</f>
        <v>0.97999999999999998</v>
      </c>
      <c r="N101" s="242" t="e">
        <f t="shared" ref="N101:N148" si="1158">(F101*0.25+I101*0.25-K101*0.25+M101*0.25)*10000</f>
        <v>#N/A</v>
      </c>
      <c r="O101" s="134" t="e">
        <f t="shared" ref="O101:O148" si="1159">IF(N101&gt;0,1*N101,0)</f>
        <v>#N/A</v>
      </c>
    </row>
    <row r="102">
      <c r="A102" s="235">
        <v>89</v>
      </c>
      <c r="B102" s="243" t="s">
        <v>179</v>
      </c>
      <c r="C102" s="237" t="s">
        <v>90</v>
      </c>
      <c r="D102" s="238" t="e">
        <f>VLOOKUP(B102,'[2]项目库建设情况统计表'!$C:$M,2,0)</f>
        <v>#N/A</v>
      </c>
      <c r="E102" s="238">
        <v>32</v>
      </c>
      <c r="F102" s="239" t="e">
        <f t="shared" si="1154"/>
        <v>#N/A</v>
      </c>
      <c r="G102" s="238" t="e">
        <f>VLOOKUP(B102,'[2]项目库建设情况统计表'!$C:$M,3,0)</f>
        <v>#N/A</v>
      </c>
      <c r="H102" s="238">
        <v>16545</v>
      </c>
      <c r="I102" s="239" t="e">
        <f t="shared" si="1155"/>
        <v>#N/A</v>
      </c>
      <c r="J102" s="240"/>
      <c r="K102" s="239">
        <f t="shared" si="1156"/>
        <v>0</v>
      </c>
      <c r="L102" s="241">
        <v>1</v>
      </c>
      <c r="M102" s="239">
        <f t="shared" si="1157"/>
        <v>1</v>
      </c>
      <c r="N102" s="242" t="e">
        <f t="shared" si="1158"/>
        <v>#N/A</v>
      </c>
      <c r="O102" s="134" t="e">
        <f t="shared" si="1159"/>
        <v>#N/A</v>
      </c>
    </row>
    <row r="103">
      <c r="A103" s="235">
        <v>90</v>
      </c>
      <c r="B103" s="243" t="s">
        <v>180</v>
      </c>
      <c r="C103" s="237" t="s">
        <v>90</v>
      </c>
      <c r="D103" s="238" t="e">
        <f>VLOOKUP(B103,'[2]项目库建设情况统计表'!$C:$M,2,0)</f>
        <v>#N/A</v>
      </c>
      <c r="E103" s="238">
        <v>100</v>
      </c>
      <c r="F103" s="239" t="e">
        <f t="shared" si="1154"/>
        <v>#N/A</v>
      </c>
      <c r="G103" s="238" t="e">
        <f>VLOOKUP(B103,'[2]项目库建设情况统计表'!$C:$M,3,0)</f>
        <v>#N/A</v>
      </c>
      <c r="H103" s="238">
        <v>23377.040000000001</v>
      </c>
      <c r="I103" s="239" t="e">
        <f t="shared" si="1155"/>
        <v>#N/A</v>
      </c>
      <c r="J103" s="240">
        <v>20</v>
      </c>
      <c r="K103" s="239">
        <f t="shared" si="1156"/>
        <v>4.9912652857499401e-003</v>
      </c>
      <c r="L103" s="241">
        <v>0.34999999999999998</v>
      </c>
      <c r="M103" s="239">
        <f t="shared" si="1157"/>
        <v>0</v>
      </c>
      <c r="N103" s="242" t="e">
        <f t="shared" si="1158"/>
        <v>#N/A</v>
      </c>
      <c r="O103" s="134" t="e">
        <f t="shared" si="1159"/>
        <v>#N/A</v>
      </c>
    </row>
    <row r="104">
      <c r="A104" s="235">
        <v>91</v>
      </c>
      <c r="B104" s="243" t="s">
        <v>181</v>
      </c>
      <c r="C104" s="237" t="s">
        <v>90</v>
      </c>
      <c r="D104" s="238" t="e">
        <f>VLOOKUP(B104,'[2]项目库建设情况统计表'!$C:$M,2,0)</f>
        <v>#N/A</v>
      </c>
      <c r="E104" s="238">
        <v>53</v>
      </c>
      <c r="F104" s="239" t="e">
        <f t="shared" si="1154"/>
        <v>#N/A</v>
      </c>
      <c r="G104" s="238" t="e">
        <f>VLOOKUP(B104,'[2]项目库建设情况统计表'!$C:$M,3,0)</f>
        <v>#N/A</v>
      </c>
      <c r="H104" s="238">
        <v>27640.849999999999</v>
      </c>
      <c r="I104" s="239" t="e">
        <f t="shared" si="1155"/>
        <v>#N/A</v>
      </c>
      <c r="J104" s="240">
        <v>2</v>
      </c>
      <c r="K104" s="239">
        <f t="shared" si="1156"/>
        <v>4.9912652857499401e-004</v>
      </c>
      <c r="L104" s="241">
        <v>0.28000000000000003</v>
      </c>
      <c r="M104" s="239">
        <f t="shared" si="1157"/>
        <v>0</v>
      </c>
      <c r="N104" s="242" t="e">
        <f t="shared" si="1158"/>
        <v>#N/A</v>
      </c>
      <c r="O104" s="134" t="e">
        <f t="shared" si="1159"/>
        <v>#N/A</v>
      </c>
    </row>
    <row r="105">
      <c r="A105" s="235">
        <v>92</v>
      </c>
      <c r="B105" s="243" t="s">
        <v>182</v>
      </c>
      <c r="C105" s="237" t="s">
        <v>90</v>
      </c>
      <c r="D105" s="238" t="e">
        <f>VLOOKUP(B105,'[2]项目库建设情况统计表'!$C:$M,2,0)</f>
        <v>#N/A</v>
      </c>
      <c r="E105" s="238">
        <v>52</v>
      </c>
      <c r="F105" s="239" t="e">
        <f t="shared" si="1154"/>
        <v>#N/A</v>
      </c>
      <c r="G105" s="238" t="e">
        <f>VLOOKUP(B105,'[2]项目库建设情况统计表'!$C:$M,3,0)</f>
        <v>#N/A</v>
      </c>
      <c r="H105" s="238">
        <v>25435.290000000001</v>
      </c>
      <c r="I105" s="239" t="e">
        <f t="shared" si="1155"/>
        <v>#N/A</v>
      </c>
      <c r="J105" s="240"/>
      <c r="K105" s="239">
        <f t="shared" si="1156"/>
        <v>0</v>
      </c>
      <c r="L105" s="241">
        <v>0.65000000000000002</v>
      </c>
      <c r="M105" s="239">
        <f t="shared" si="1157"/>
        <v>0.65000000000000002</v>
      </c>
      <c r="N105" s="242" t="e">
        <f t="shared" si="1158"/>
        <v>#N/A</v>
      </c>
      <c r="O105" s="134" t="e">
        <f t="shared" si="1159"/>
        <v>#N/A</v>
      </c>
    </row>
    <row r="106">
      <c r="A106" s="235">
        <v>93</v>
      </c>
      <c r="B106" s="243" t="s">
        <v>183</v>
      </c>
      <c r="C106" s="237" t="s">
        <v>90</v>
      </c>
      <c r="D106" s="238" t="e">
        <f>VLOOKUP(B106,'[2]项目库建设情况统计表'!$C:$M,2,0)</f>
        <v>#N/A</v>
      </c>
      <c r="E106" s="238">
        <v>68</v>
      </c>
      <c r="F106" s="239" t="e">
        <f t="shared" si="1154"/>
        <v>#N/A</v>
      </c>
      <c r="G106" s="238" t="e">
        <f>VLOOKUP(B106,'[2]项目库建设情况统计表'!$C:$M,3,0)</f>
        <v>#N/A</v>
      </c>
      <c r="H106" s="238">
        <v>32752.200000000001</v>
      </c>
      <c r="I106" s="239" t="e">
        <f t="shared" si="1155"/>
        <v>#N/A</v>
      </c>
      <c r="J106" s="240"/>
      <c r="K106" s="239">
        <f t="shared" si="1156"/>
        <v>0</v>
      </c>
      <c r="L106" s="241">
        <v>0.51000000000000001</v>
      </c>
      <c r="M106" s="239">
        <f t="shared" si="1157"/>
        <v>0.51000000000000001</v>
      </c>
      <c r="N106" s="242" t="e">
        <f t="shared" si="1158"/>
        <v>#N/A</v>
      </c>
      <c r="O106" s="134" t="e">
        <f t="shared" si="1159"/>
        <v>#N/A</v>
      </c>
    </row>
    <row r="107">
      <c r="A107" s="235">
        <v>94</v>
      </c>
      <c r="B107" s="243" t="s">
        <v>184</v>
      </c>
      <c r="C107" s="237" t="s">
        <v>90</v>
      </c>
      <c r="D107" s="238" t="e">
        <f>VLOOKUP(B107,'[2]项目库建设情况统计表'!$C:$M,2,0)</f>
        <v>#N/A</v>
      </c>
      <c r="E107" s="238">
        <v>34</v>
      </c>
      <c r="F107" s="239" t="e">
        <f t="shared" si="1154"/>
        <v>#N/A</v>
      </c>
      <c r="G107" s="238" t="e">
        <f>VLOOKUP(B107,'[2]项目库建设情况统计表'!$C:$M,3,0)</f>
        <v>#N/A</v>
      </c>
      <c r="H107" s="238">
        <v>33325.339999999997</v>
      </c>
      <c r="I107" s="239" t="e">
        <f t="shared" si="1155"/>
        <v>#N/A</v>
      </c>
      <c r="J107" s="240"/>
      <c r="K107" s="239">
        <f t="shared" si="1156"/>
        <v>0</v>
      </c>
      <c r="L107" s="241">
        <v>0.23999999999999999</v>
      </c>
      <c r="M107" s="239">
        <f t="shared" si="1157"/>
        <v>0</v>
      </c>
      <c r="N107" s="242" t="e">
        <f t="shared" si="1158"/>
        <v>#N/A</v>
      </c>
      <c r="O107" s="134" t="e">
        <f t="shared" si="1159"/>
        <v>#N/A</v>
      </c>
    </row>
    <row r="108">
      <c r="A108" s="235">
        <v>95</v>
      </c>
      <c r="B108" s="243" t="s">
        <v>185</v>
      </c>
      <c r="C108" s="237" t="s">
        <v>90</v>
      </c>
      <c r="D108" s="238" t="e">
        <f>VLOOKUP(B108,'[2]项目库建设情况统计表'!$C:$M,2,0)</f>
        <v>#N/A</v>
      </c>
      <c r="E108" s="238">
        <v>53</v>
      </c>
      <c r="F108" s="239" t="e">
        <f t="shared" si="1154"/>
        <v>#N/A</v>
      </c>
      <c r="G108" s="238" t="e">
        <f>VLOOKUP(B108,'[2]项目库建设情况统计表'!$C:$M,3,0)</f>
        <v>#N/A</v>
      </c>
      <c r="H108" s="238">
        <v>15683</v>
      </c>
      <c r="I108" s="239" t="e">
        <f t="shared" si="1155"/>
        <v>#N/A</v>
      </c>
      <c r="J108" s="240">
        <v>18</v>
      </c>
      <c r="K108" s="239">
        <f t="shared" si="1156"/>
        <v>4.4921387571749396e-003</v>
      </c>
      <c r="L108" s="241">
        <v>0.34000000000000002</v>
      </c>
      <c r="M108" s="239">
        <f t="shared" si="1157"/>
        <v>0</v>
      </c>
      <c r="N108" s="242" t="e">
        <f t="shared" si="1158"/>
        <v>#N/A</v>
      </c>
      <c r="O108" s="134" t="e">
        <f t="shared" si="1159"/>
        <v>#N/A</v>
      </c>
    </row>
    <row r="109">
      <c r="A109" s="235">
        <v>96</v>
      </c>
      <c r="B109" s="243" t="s">
        <v>186</v>
      </c>
      <c r="C109" s="237" t="s">
        <v>90</v>
      </c>
      <c r="D109" s="238" t="e">
        <f>VLOOKUP(B109,'[2]项目库建设情况统计表'!$C:$M,2,0)</f>
        <v>#N/A</v>
      </c>
      <c r="E109" s="238">
        <v>154</v>
      </c>
      <c r="F109" s="239" t="e">
        <f t="shared" si="1154"/>
        <v>#N/A</v>
      </c>
      <c r="G109" s="238" t="e">
        <f>VLOOKUP(B109,'[2]项目库建设情况统计表'!$C:$M,3,0)</f>
        <v>#N/A</v>
      </c>
      <c r="H109" s="238">
        <v>32064.349999999999</v>
      </c>
      <c r="I109" s="239" t="e">
        <f t="shared" si="1155"/>
        <v>#N/A</v>
      </c>
      <c r="J109" s="240">
        <v>64</v>
      </c>
      <c r="K109" s="239">
        <f t="shared" si="1156"/>
        <v>1.5972048914399802e-002</v>
      </c>
      <c r="L109" s="241">
        <v>0.33000000000000002</v>
      </c>
      <c r="M109" s="239">
        <f t="shared" si="1157"/>
        <v>0</v>
      </c>
      <c r="N109" s="242" t="e">
        <f t="shared" si="1158"/>
        <v>#N/A</v>
      </c>
      <c r="O109" s="134" t="e">
        <f t="shared" si="1159"/>
        <v>#N/A</v>
      </c>
    </row>
    <row r="110">
      <c r="A110" s="235">
        <v>97</v>
      </c>
      <c r="B110" s="243" t="s">
        <v>187</v>
      </c>
      <c r="C110" s="237" t="s">
        <v>90</v>
      </c>
      <c r="D110" s="238" t="e">
        <f>VLOOKUP(B110,'[2]项目库建设情况统计表'!$C:$M,2,0)</f>
        <v>#N/A</v>
      </c>
      <c r="E110" s="238">
        <v>48</v>
      </c>
      <c r="F110" s="239" t="e">
        <f t="shared" si="1154"/>
        <v>#N/A</v>
      </c>
      <c r="G110" s="238" t="e">
        <f>VLOOKUP(B110,'[2]项目库建设情况统计表'!$C:$M,3,0)</f>
        <v>#N/A</v>
      </c>
      <c r="H110" s="238">
        <v>16176.459999999999</v>
      </c>
      <c r="I110" s="239" t="e">
        <f t="shared" si="1155"/>
        <v>#N/A</v>
      </c>
      <c r="J110" s="240">
        <v>13</v>
      </c>
      <c r="K110" s="239">
        <f t="shared" si="1156"/>
        <v>3.24432243573746e-003</v>
      </c>
      <c r="L110" s="241">
        <v>0.75</v>
      </c>
      <c r="M110" s="239">
        <f t="shared" si="1157"/>
        <v>0.75</v>
      </c>
      <c r="N110" s="242" t="e">
        <f t="shared" si="1158"/>
        <v>#N/A</v>
      </c>
      <c r="O110" s="134" t="e">
        <f t="shared" si="1159"/>
        <v>#N/A</v>
      </c>
    </row>
    <row r="111">
      <c r="A111" s="235">
        <v>98</v>
      </c>
      <c r="B111" s="243" t="s">
        <v>188</v>
      </c>
      <c r="C111" s="237" t="s">
        <v>90</v>
      </c>
      <c r="D111" s="238" t="e">
        <f>VLOOKUP(B111,'[2]项目库建设情况统计表'!$C:$M,2,0)</f>
        <v>#N/A</v>
      </c>
      <c r="E111" s="238">
        <v>188</v>
      </c>
      <c r="F111" s="239" t="e">
        <f t="shared" si="1154"/>
        <v>#N/A</v>
      </c>
      <c r="G111" s="238" t="e">
        <f>VLOOKUP(B111,'[2]项目库建设情况统计表'!$C:$M,3,0)</f>
        <v>#N/A</v>
      </c>
      <c r="H111" s="238">
        <v>31398.939999999999</v>
      </c>
      <c r="I111" s="239" t="e">
        <f t="shared" si="1155"/>
        <v>#N/A</v>
      </c>
      <c r="J111" s="240">
        <v>78</v>
      </c>
      <c r="K111" s="239">
        <f t="shared" si="1156"/>
        <v>1.94659346144248e-002</v>
      </c>
      <c r="L111" s="241">
        <v>0.63</v>
      </c>
      <c r="M111" s="239">
        <f t="shared" si="1157"/>
        <v>0.63</v>
      </c>
      <c r="N111" s="242" t="e">
        <f t="shared" si="1158"/>
        <v>#N/A</v>
      </c>
      <c r="O111" s="134" t="e">
        <f t="shared" si="1159"/>
        <v>#N/A</v>
      </c>
    </row>
    <row r="112">
      <c r="A112" s="235">
        <v>99</v>
      </c>
      <c r="B112" s="243" t="s">
        <v>189</v>
      </c>
      <c r="C112" s="237" t="s">
        <v>90</v>
      </c>
      <c r="D112" s="238" t="e">
        <f>VLOOKUP(B112,'[2]项目库建设情况统计表'!$C:$M,2,0)</f>
        <v>#N/A</v>
      </c>
      <c r="E112" s="238">
        <v>60</v>
      </c>
      <c r="F112" s="239" t="e">
        <f t="shared" si="1154"/>
        <v>#N/A</v>
      </c>
      <c r="G112" s="238" t="e">
        <f>VLOOKUP(B112,'[2]项目库建设情况统计表'!$C:$M,3,0)</f>
        <v>#N/A</v>
      </c>
      <c r="H112" s="238">
        <v>12290.258</v>
      </c>
      <c r="I112" s="239" t="e">
        <f t="shared" si="1155"/>
        <v>#N/A</v>
      </c>
      <c r="J112" s="240">
        <v>28</v>
      </c>
      <c r="K112" s="239">
        <f t="shared" si="1156"/>
        <v>6.9877714000499101e-003</v>
      </c>
      <c r="L112" s="241">
        <v>0.92000000000000004</v>
      </c>
      <c r="M112" s="239">
        <f t="shared" si="1157"/>
        <v>0.92000000000000004</v>
      </c>
      <c r="N112" s="242" t="e">
        <f t="shared" si="1158"/>
        <v>#N/A</v>
      </c>
      <c r="O112" s="134" t="e">
        <f t="shared" si="1159"/>
        <v>#N/A</v>
      </c>
    </row>
    <row r="113">
      <c r="A113" s="228"/>
      <c r="B113" s="229" t="s">
        <v>384</v>
      </c>
      <c r="C113" s="230"/>
      <c r="D113" s="231"/>
      <c r="E113" s="231"/>
      <c r="F113" s="232"/>
      <c r="G113" s="231"/>
      <c r="H113" s="231"/>
      <c r="I113" s="232"/>
      <c r="J113" s="231"/>
      <c r="K113" s="232"/>
      <c r="L113" s="233"/>
      <c r="M113" s="232"/>
      <c r="N113" s="234"/>
    </row>
    <row r="114">
      <c r="A114" s="235">
        <v>100</v>
      </c>
      <c r="B114" s="243" t="s">
        <v>192</v>
      </c>
      <c r="C114" s="237" t="s">
        <v>90</v>
      </c>
      <c r="D114" s="238" t="e">
        <f>VLOOKUP(B114,'[2]项目库建设情况统计表'!$C:$M,2,0)</f>
        <v>#N/A</v>
      </c>
      <c r="E114" s="238">
        <v>140</v>
      </c>
      <c r="F114" s="239" t="e">
        <f t="shared" si="1154"/>
        <v>#N/A</v>
      </c>
      <c r="G114" s="238" t="e">
        <f>VLOOKUP(B114,'[2]项目库建设情况统计表'!$C:$M,3,0)</f>
        <v>#N/A</v>
      </c>
      <c r="H114" s="238">
        <v>56117.440000000002</v>
      </c>
      <c r="I114" s="239" t="e">
        <f t="shared" si="1155"/>
        <v>#N/A</v>
      </c>
      <c r="J114" s="240">
        <v>53</v>
      </c>
      <c r="K114" s="239">
        <f t="shared" si="1156"/>
        <v>1.32268530072373e-002</v>
      </c>
      <c r="L114" s="241">
        <v>0.42999999999999999</v>
      </c>
      <c r="M114" s="239">
        <f t="shared" si="1157"/>
        <v>0</v>
      </c>
      <c r="N114" s="242" t="e">
        <f t="shared" si="1158"/>
        <v>#N/A</v>
      </c>
      <c r="O114" s="134" t="e">
        <f t="shared" si="1159"/>
        <v>#N/A</v>
      </c>
    </row>
    <row r="115">
      <c r="A115" s="235">
        <v>101</v>
      </c>
      <c r="B115" s="243" t="s">
        <v>193</v>
      </c>
      <c r="C115" s="237" t="s">
        <v>90</v>
      </c>
      <c r="D115" s="238" t="e">
        <f>VLOOKUP(B115,'[2]项目库建设情况统计表'!$C:$M,2,0)</f>
        <v>#N/A</v>
      </c>
      <c r="E115" s="238">
        <v>500</v>
      </c>
      <c r="F115" s="239" t="e">
        <f t="shared" si="1154"/>
        <v>#N/A</v>
      </c>
      <c r="G115" s="238" t="e">
        <f>VLOOKUP(B115,'[2]项目库建设情况统计表'!$C:$M,3,0)</f>
        <v>#N/A</v>
      </c>
      <c r="H115" s="238">
        <v>70799.577999999994</v>
      </c>
      <c r="I115" s="239" t="e">
        <f t="shared" si="1155"/>
        <v>#N/A</v>
      </c>
      <c r="J115" s="240">
        <v>156</v>
      </c>
      <c r="K115" s="239">
        <f t="shared" si="1156"/>
        <v>3.8931869228849503e-002</v>
      </c>
      <c r="L115" s="241">
        <v>0.32000000000000001</v>
      </c>
      <c r="M115" s="239">
        <f t="shared" si="1157"/>
        <v>0</v>
      </c>
      <c r="N115" s="242" t="e">
        <f t="shared" si="1158"/>
        <v>#N/A</v>
      </c>
      <c r="O115" s="134" t="e">
        <f t="shared" si="1159"/>
        <v>#N/A</v>
      </c>
    </row>
    <row r="116">
      <c r="A116" s="235">
        <v>102</v>
      </c>
      <c r="B116" s="243" t="s">
        <v>194</v>
      </c>
      <c r="C116" s="237" t="s">
        <v>78</v>
      </c>
      <c r="D116" s="238" t="e">
        <f>VLOOKUP(B116,'[2]项目库建设情况统计表'!$C:$M,2,0)</f>
        <v>#N/A</v>
      </c>
      <c r="E116" s="238">
        <v>966</v>
      </c>
      <c r="F116" s="239" t="e">
        <f t="shared" si="1154"/>
        <v>#N/A</v>
      </c>
      <c r="G116" s="238" t="e">
        <f>VLOOKUP(B116,'[2]项目库建设情况统计表'!$C:$M,3,0)</f>
        <v>#N/A</v>
      </c>
      <c r="H116" s="238">
        <v>165323.76000000001</v>
      </c>
      <c r="I116" s="239" t="e">
        <f t="shared" si="1155"/>
        <v>#N/A</v>
      </c>
      <c r="J116" s="240">
        <v>131</v>
      </c>
      <c r="K116" s="239">
        <f t="shared" si="1156"/>
        <v>3.2692787621662098e-002</v>
      </c>
      <c r="L116" s="241">
        <v>0.11</v>
      </c>
      <c r="M116" s="239">
        <f t="shared" si="1157"/>
        <v>0</v>
      </c>
      <c r="N116" s="242" t="e">
        <f t="shared" si="1158"/>
        <v>#N/A</v>
      </c>
      <c r="O116" s="134" t="e">
        <f t="shared" si="1159"/>
        <v>#N/A</v>
      </c>
    </row>
    <row r="117">
      <c r="A117" s="235">
        <v>103</v>
      </c>
      <c r="B117" s="243" t="s">
        <v>195</v>
      </c>
      <c r="C117" s="237" t="s">
        <v>90</v>
      </c>
      <c r="D117" s="238" t="e">
        <f>VLOOKUP(B117,'[2]项目库建设情况统计表'!$C:$M,2,0)</f>
        <v>#N/A</v>
      </c>
      <c r="E117" s="238">
        <v>81</v>
      </c>
      <c r="F117" s="239" t="e">
        <f t="shared" si="1154"/>
        <v>#N/A</v>
      </c>
      <c r="G117" s="238" t="e">
        <f>VLOOKUP(B117,'[2]项目库建设情况统计表'!$C:$M,3,0)</f>
        <v>#N/A</v>
      </c>
      <c r="H117" s="238">
        <v>16141.129999999999</v>
      </c>
      <c r="I117" s="239" t="e">
        <f t="shared" si="1155"/>
        <v>#N/A</v>
      </c>
      <c r="J117" s="240">
        <v>1</v>
      </c>
      <c r="K117" s="239">
        <f t="shared" si="1156"/>
        <v>2.4956326428749701e-004</v>
      </c>
      <c r="L117" s="241">
        <v>0.55000000000000004</v>
      </c>
      <c r="M117" s="239">
        <f t="shared" si="1157"/>
        <v>0.55000000000000004</v>
      </c>
      <c r="N117" s="242" t="e">
        <f t="shared" si="1158"/>
        <v>#N/A</v>
      </c>
      <c r="O117" s="134" t="e">
        <f t="shared" si="1159"/>
        <v>#N/A</v>
      </c>
    </row>
    <row r="118">
      <c r="A118" s="235">
        <v>104</v>
      </c>
      <c r="B118" s="243" t="s">
        <v>196</v>
      </c>
      <c r="C118" s="237" t="s">
        <v>90</v>
      </c>
      <c r="D118" s="238" t="e">
        <f>VLOOKUP(B118,'[2]项目库建设情况统计表'!$C:$M,2,0)</f>
        <v>#N/A</v>
      </c>
      <c r="E118" s="238">
        <v>94</v>
      </c>
      <c r="F118" s="239" t="e">
        <f t="shared" si="1154"/>
        <v>#N/A</v>
      </c>
      <c r="G118" s="238" t="e">
        <f>VLOOKUP(B118,'[2]项目库建设情况统计表'!$C:$M,3,0)</f>
        <v>#N/A</v>
      </c>
      <c r="H118" s="238">
        <v>31601.07</v>
      </c>
      <c r="I118" s="239" t="e">
        <f t="shared" si="1155"/>
        <v>#N/A</v>
      </c>
      <c r="J118" s="240">
        <v>76</v>
      </c>
      <c r="K118" s="239">
        <f t="shared" si="1156"/>
        <v>1.8966808085849801e-002</v>
      </c>
      <c r="L118" s="241">
        <v>1</v>
      </c>
      <c r="M118" s="239">
        <f t="shared" si="1157"/>
        <v>1</v>
      </c>
      <c r="N118" s="242" t="e">
        <f t="shared" si="1158"/>
        <v>#N/A</v>
      </c>
      <c r="O118" s="134" t="e">
        <f t="shared" si="1159"/>
        <v>#N/A</v>
      </c>
    </row>
    <row r="119">
      <c r="A119" s="228"/>
      <c r="B119" s="229" t="s">
        <v>385</v>
      </c>
      <c r="C119" s="230"/>
      <c r="D119" s="231"/>
      <c r="E119" s="231"/>
      <c r="F119" s="232"/>
      <c r="G119" s="231"/>
      <c r="H119" s="231"/>
      <c r="I119" s="232"/>
      <c r="J119" s="231"/>
      <c r="K119" s="232"/>
      <c r="L119" s="233"/>
      <c r="M119" s="232"/>
      <c r="N119" s="234"/>
    </row>
    <row r="120">
      <c r="A120" s="235">
        <v>105</v>
      </c>
      <c r="B120" s="243" t="s">
        <v>199</v>
      </c>
      <c r="C120" s="237" t="s">
        <v>78</v>
      </c>
      <c r="D120" s="238" t="e">
        <f>VLOOKUP(B120,'[2]项目库建设情况统计表'!$C:$M,2,0)</f>
        <v>#N/A</v>
      </c>
      <c r="E120" s="238">
        <v>83</v>
      </c>
      <c r="F120" s="239" t="e">
        <f t="shared" si="1154"/>
        <v>#N/A</v>
      </c>
      <c r="G120" s="238" t="e">
        <f>VLOOKUP(B120,'[2]项目库建设情况统计表'!$C:$M,3,0)</f>
        <v>#N/A</v>
      </c>
      <c r="H120" s="238">
        <v>31567</v>
      </c>
      <c r="I120" s="239" t="e">
        <f t="shared" si="1155"/>
        <v>#N/A</v>
      </c>
      <c r="J120" s="240">
        <v>17</v>
      </c>
      <c r="K120" s="239">
        <f t="shared" si="1156"/>
        <v>4.2425754928874498e-003</v>
      </c>
      <c r="L120" s="241">
        <v>0.51000000000000001</v>
      </c>
      <c r="M120" s="239">
        <f t="shared" si="1157"/>
        <v>0.51000000000000001</v>
      </c>
      <c r="N120" s="242" t="e">
        <f t="shared" si="1158"/>
        <v>#N/A</v>
      </c>
      <c r="O120" s="134" t="e">
        <f t="shared" si="1159"/>
        <v>#N/A</v>
      </c>
    </row>
    <row r="121">
      <c r="A121" s="235">
        <v>106</v>
      </c>
      <c r="B121" s="243" t="s">
        <v>200</v>
      </c>
      <c r="C121" s="237" t="s">
        <v>90</v>
      </c>
      <c r="D121" s="238" t="e">
        <f>VLOOKUP(B121,'[2]项目库建设情况统计表'!$C:$M,2,0)</f>
        <v>#N/A</v>
      </c>
      <c r="E121" s="238">
        <v>126</v>
      </c>
      <c r="F121" s="239" t="e">
        <f t="shared" si="1154"/>
        <v>#N/A</v>
      </c>
      <c r="G121" s="238" t="e">
        <f>VLOOKUP(B121,'[2]项目库建设情况统计表'!$C:$M,3,0)</f>
        <v>#N/A</v>
      </c>
      <c r="H121" s="238">
        <v>66443.589999999997</v>
      </c>
      <c r="I121" s="239" t="e">
        <f t="shared" si="1155"/>
        <v>#N/A</v>
      </c>
      <c r="J121" s="240">
        <v>27</v>
      </c>
      <c r="K121" s="239">
        <f t="shared" si="1156"/>
        <v>6.7382081357624203e-003</v>
      </c>
      <c r="L121" s="241">
        <v>0.93999999999999995</v>
      </c>
      <c r="M121" s="239">
        <f t="shared" si="1157"/>
        <v>0.93999999999999995</v>
      </c>
      <c r="N121" s="242" t="e">
        <f t="shared" si="1158"/>
        <v>#N/A</v>
      </c>
      <c r="O121" s="134" t="e">
        <f t="shared" si="1159"/>
        <v>#N/A</v>
      </c>
    </row>
    <row r="122">
      <c r="A122" s="235">
        <v>107</v>
      </c>
      <c r="B122" s="243" t="s">
        <v>201</v>
      </c>
      <c r="C122" s="237" t="s">
        <v>90</v>
      </c>
      <c r="D122" s="238" t="e">
        <f>VLOOKUP(B122,'[2]项目库建设情况统计表'!$C:$M,2,0)</f>
        <v>#N/A</v>
      </c>
      <c r="E122" s="238">
        <v>29</v>
      </c>
      <c r="F122" s="239" t="e">
        <f t="shared" si="1154"/>
        <v>#N/A</v>
      </c>
      <c r="G122" s="238" t="e">
        <f>VLOOKUP(B122,'[2]项目库建设情况统计表'!$C:$M,3,0)</f>
        <v>#N/A</v>
      </c>
      <c r="H122" s="238">
        <v>10443.41</v>
      </c>
      <c r="I122" s="239" t="e">
        <f t="shared" si="1155"/>
        <v>#N/A</v>
      </c>
      <c r="J122" s="240">
        <v>1</v>
      </c>
      <c r="K122" s="239">
        <f t="shared" si="1156"/>
        <v>2.4956326428749701e-004</v>
      </c>
      <c r="L122" s="241">
        <v>0.47999999999999998</v>
      </c>
      <c r="M122" s="239">
        <f t="shared" si="1157"/>
        <v>0</v>
      </c>
      <c r="N122" s="242" t="e">
        <f t="shared" si="1158"/>
        <v>#N/A</v>
      </c>
      <c r="O122" s="134" t="e">
        <f t="shared" si="1159"/>
        <v>#N/A</v>
      </c>
    </row>
    <row r="123">
      <c r="A123" s="235">
        <v>108</v>
      </c>
      <c r="B123" s="243" t="s">
        <v>202</v>
      </c>
      <c r="C123" s="237" t="s">
        <v>90</v>
      </c>
      <c r="D123" s="238" t="e">
        <f>VLOOKUP(B123,'[2]项目库建设情况统计表'!$C:$M,2,0)</f>
        <v>#N/A</v>
      </c>
      <c r="E123" s="238">
        <v>246</v>
      </c>
      <c r="F123" s="239" t="e">
        <f t="shared" si="1154"/>
        <v>#N/A</v>
      </c>
      <c r="G123" s="238" t="e">
        <f>VLOOKUP(B123,'[2]项目库建设情况统计表'!$C:$M,3,0)</f>
        <v>#N/A</v>
      </c>
      <c r="H123" s="238">
        <v>55019.239999999998</v>
      </c>
      <c r="I123" s="239" t="e">
        <f t="shared" si="1155"/>
        <v>#N/A</v>
      </c>
      <c r="J123" s="240">
        <v>45</v>
      </c>
      <c r="K123" s="239">
        <f t="shared" si="1156"/>
        <v>1.12303468929374e-002</v>
      </c>
      <c r="L123" s="241">
        <v>0.23000000000000001</v>
      </c>
      <c r="M123" s="239">
        <f t="shared" si="1157"/>
        <v>0</v>
      </c>
      <c r="N123" s="242" t="e">
        <f t="shared" si="1158"/>
        <v>#N/A</v>
      </c>
      <c r="O123" s="134" t="e">
        <f t="shared" si="1159"/>
        <v>#N/A</v>
      </c>
    </row>
    <row r="124">
      <c r="A124" s="235">
        <v>109</v>
      </c>
      <c r="B124" s="243" t="s">
        <v>203</v>
      </c>
      <c r="C124" s="237" t="s">
        <v>90</v>
      </c>
      <c r="D124" s="238" t="e">
        <f>VLOOKUP(B124,'[2]项目库建设情况统计表'!$C:$M,2,0)</f>
        <v>#N/A</v>
      </c>
      <c r="E124" s="238">
        <v>70</v>
      </c>
      <c r="F124" s="239" t="e">
        <f t="shared" si="1154"/>
        <v>#N/A</v>
      </c>
      <c r="G124" s="238" t="e">
        <f>VLOOKUP(B124,'[2]项目库建设情况统计表'!$C:$M,3,0)</f>
        <v>#N/A</v>
      </c>
      <c r="H124" s="238">
        <v>15434.65</v>
      </c>
      <c r="I124" s="239" t="e">
        <f t="shared" si="1155"/>
        <v>#N/A</v>
      </c>
      <c r="J124" s="240">
        <v>58</v>
      </c>
      <c r="K124" s="239">
        <f t="shared" si="1156"/>
        <v>1.44746693286748e-002</v>
      </c>
      <c r="L124" s="241">
        <v>0.56999999999999995</v>
      </c>
      <c r="M124" s="239">
        <f t="shared" si="1157"/>
        <v>0.56999999999999995</v>
      </c>
      <c r="N124" s="242" t="e">
        <f t="shared" si="1158"/>
        <v>#N/A</v>
      </c>
      <c r="O124" s="134" t="e">
        <f t="shared" si="1159"/>
        <v>#N/A</v>
      </c>
    </row>
    <row r="125">
      <c r="A125" s="228"/>
      <c r="B125" s="229" t="s">
        <v>458</v>
      </c>
      <c r="C125" s="230"/>
      <c r="D125" s="231"/>
      <c r="E125" s="231"/>
      <c r="F125" s="232"/>
      <c r="G125" s="231"/>
      <c r="H125" s="231"/>
      <c r="I125" s="232"/>
      <c r="J125" s="231"/>
      <c r="K125" s="232"/>
      <c r="L125" s="233"/>
      <c r="M125" s="232"/>
      <c r="N125" s="234"/>
    </row>
    <row r="126">
      <c r="A126" s="235">
        <v>110</v>
      </c>
      <c r="B126" s="243" t="s">
        <v>206</v>
      </c>
      <c r="C126" s="237" t="s">
        <v>78</v>
      </c>
      <c r="D126" s="238" t="e">
        <f>VLOOKUP(B126,'[2]项目库建设情况统计表'!$C:$M,2,0)</f>
        <v>#N/A</v>
      </c>
      <c r="E126" s="238">
        <v>2</v>
      </c>
      <c r="F126" s="239" t="e">
        <f t="shared" si="1154"/>
        <v>#N/A</v>
      </c>
      <c r="G126" s="238" t="e">
        <f>VLOOKUP(B126,'[2]项目库建设情况统计表'!$C:$M,3,0)</f>
        <v>#N/A</v>
      </c>
      <c r="H126" s="238">
        <v>5621.6099999999997</v>
      </c>
      <c r="I126" s="239" t="e">
        <f t="shared" si="1155"/>
        <v>#N/A</v>
      </c>
      <c r="J126" s="240"/>
      <c r="K126" s="239">
        <f t="shared" si="1156"/>
        <v>0</v>
      </c>
      <c r="L126" s="241">
        <v>0.5</v>
      </c>
      <c r="M126" s="239">
        <f t="shared" si="1157"/>
        <v>0.5</v>
      </c>
      <c r="N126" s="242" t="e">
        <f t="shared" si="1158"/>
        <v>#N/A</v>
      </c>
      <c r="O126" s="134" t="e">
        <f t="shared" si="1159"/>
        <v>#N/A</v>
      </c>
    </row>
    <row r="127">
      <c r="A127" s="235">
        <v>111</v>
      </c>
      <c r="B127" s="243" t="s">
        <v>207</v>
      </c>
      <c r="C127" s="237" t="s">
        <v>90</v>
      </c>
      <c r="D127" s="238" t="e">
        <f>VLOOKUP(B127,'[2]项目库建设情况统计表'!$C:$M,2,0)</f>
        <v>#N/A</v>
      </c>
      <c r="E127" s="238">
        <v>93</v>
      </c>
      <c r="F127" s="239" t="e">
        <f t="shared" si="1154"/>
        <v>#N/A</v>
      </c>
      <c r="G127" s="238" t="e">
        <f>VLOOKUP(B127,'[2]项目库建设情况统计表'!$C:$M,3,0)</f>
        <v>#N/A</v>
      </c>
      <c r="H127" s="238">
        <v>32721.18</v>
      </c>
      <c r="I127" s="239" t="e">
        <f t="shared" si="1155"/>
        <v>#N/A</v>
      </c>
      <c r="J127" s="240">
        <v>2</v>
      </c>
      <c r="K127" s="239">
        <f t="shared" si="1156"/>
        <v>4.9912652857499401e-004</v>
      </c>
      <c r="L127" s="241">
        <v>0.89000000000000001</v>
      </c>
      <c r="M127" s="239">
        <f t="shared" si="1157"/>
        <v>0.89000000000000001</v>
      </c>
      <c r="N127" s="242" t="e">
        <f t="shared" si="1158"/>
        <v>#N/A</v>
      </c>
      <c r="O127" s="134" t="e">
        <f t="shared" si="1159"/>
        <v>#N/A</v>
      </c>
    </row>
    <row r="128">
      <c r="A128" s="235">
        <v>112</v>
      </c>
      <c r="B128" s="243" t="s">
        <v>208</v>
      </c>
      <c r="C128" s="237" t="s">
        <v>90</v>
      </c>
      <c r="D128" s="238" t="e">
        <f>VLOOKUP(B128,'[2]项目库建设情况统计表'!$C:$M,2,0)</f>
        <v>#N/A</v>
      </c>
      <c r="E128" s="238">
        <v>244</v>
      </c>
      <c r="F128" s="239" t="e">
        <f t="shared" si="1154"/>
        <v>#N/A</v>
      </c>
      <c r="G128" s="238" t="e">
        <f>VLOOKUP(B128,'[2]项目库建设情况统计表'!$C:$M,3,0)</f>
        <v>#N/A</v>
      </c>
      <c r="H128" s="238">
        <v>42046.906053999999</v>
      </c>
      <c r="I128" s="239" t="e">
        <f t="shared" si="1155"/>
        <v>#N/A</v>
      </c>
      <c r="J128" s="240">
        <v>7</v>
      </c>
      <c r="K128" s="239">
        <f t="shared" si="1156"/>
        <v>1.7469428500124799e-003</v>
      </c>
      <c r="L128" s="241">
        <v>0.63</v>
      </c>
      <c r="M128" s="239">
        <f t="shared" si="1157"/>
        <v>0.63</v>
      </c>
      <c r="N128" s="242" t="e">
        <f t="shared" si="1158"/>
        <v>#N/A</v>
      </c>
      <c r="O128" s="134" t="e">
        <f t="shared" si="1159"/>
        <v>#N/A</v>
      </c>
    </row>
    <row r="129">
      <c r="A129" s="235">
        <v>113</v>
      </c>
      <c r="B129" s="243" t="s">
        <v>209</v>
      </c>
      <c r="C129" s="237" t="s">
        <v>78</v>
      </c>
      <c r="D129" s="238" t="e">
        <f>VLOOKUP(B129,'[2]项目库建设情况统计表'!$C:$M,2,0)</f>
        <v>#N/A</v>
      </c>
      <c r="E129" s="238">
        <v>88</v>
      </c>
      <c r="F129" s="239" t="e">
        <f t="shared" si="1154"/>
        <v>#N/A</v>
      </c>
      <c r="G129" s="238" t="e">
        <f>VLOOKUP(B129,'[2]项目库建设情况统计表'!$C:$M,3,0)</f>
        <v>#N/A</v>
      </c>
      <c r="H129" s="238">
        <v>12165.421</v>
      </c>
      <c r="I129" s="239" t="e">
        <f t="shared" si="1155"/>
        <v>#N/A</v>
      </c>
      <c r="J129" s="240">
        <v>15</v>
      </c>
      <c r="K129" s="239">
        <f t="shared" si="1156"/>
        <v>3.7434489643124501e-003</v>
      </c>
      <c r="L129" s="241">
        <v>0.42999999999999999</v>
      </c>
      <c r="M129" s="239">
        <f t="shared" si="1157"/>
        <v>0</v>
      </c>
      <c r="N129" s="242" t="e">
        <f t="shared" si="1158"/>
        <v>#N/A</v>
      </c>
      <c r="O129" s="134" t="e">
        <f t="shared" si="1159"/>
        <v>#N/A</v>
      </c>
    </row>
    <row r="130">
      <c r="A130" s="235">
        <v>114</v>
      </c>
      <c r="B130" s="243" t="s">
        <v>210</v>
      </c>
      <c r="C130" s="237" t="s">
        <v>93</v>
      </c>
      <c r="D130" s="238" t="e">
        <f>VLOOKUP(B130,'[2]项目库建设情况统计表'!$C:$M,2,0)</f>
        <v>#N/A</v>
      </c>
      <c r="E130" s="238">
        <v>248</v>
      </c>
      <c r="F130" s="239" t="e">
        <f t="shared" si="1154"/>
        <v>#N/A</v>
      </c>
      <c r="G130" s="238" t="e">
        <f>VLOOKUP(B130,'[2]项目库建设情况统计表'!$C:$M,3,0)</f>
        <v>#N/A</v>
      </c>
      <c r="H130" s="238">
        <v>40413.139999999999</v>
      </c>
      <c r="I130" s="239" t="e">
        <f t="shared" si="1155"/>
        <v>#N/A</v>
      </c>
      <c r="J130" s="240"/>
      <c r="K130" s="239">
        <f t="shared" si="1156"/>
        <v>0</v>
      </c>
      <c r="L130" s="241">
        <v>0.98999999999999999</v>
      </c>
      <c r="M130" s="239">
        <f t="shared" si="1157"/>
        <v>0.98999999999999999</v>
      </c>
      <c r="N130" s="242" t="e">
        <f t="shared" si="1158"/>
        <v>#N/A</v>
      </c>
      <c r="O130" s="134" t="e">
        <f t="shared" si="1159"/>
        <v>#N/A</v>
      </c>
    </row>
    <row r="131">
      <c r="A131" s="228"/>
      <c r="B131" s="229" t="s">
        <v>386</v>
      </c>
      <c r="C131" s="230"/>
      <c r="D131" s="231"/>
      <c r="E131" s="231"/>
      <c r="F131" s="232"/>
      <c r="G131" s="231"/>
      <c r="H131" s="231"/>
      <c r="I131" s="232"/>
      <c r="J131" s="231"/>
      <c r="K131" s="232"/>
      <c r="L131" s="233"/>
      <c r="M131" s="232"/>
      <c r="N131" s="234"/>
    </row>
    <row r="132">
      <c r="A132" s="235">
        <v>115</v>
      </c>
      <c r="B132" s="243" t="s">
        <v>213</v>
      </c>
      <c r="C132" s="237" t="s">
        <v>93</v>
      </c>
      <c r="D132" s="238" t="e">
        <f>VLOOKUP(B132,'[2]项目库建设情况统计表'!$C:$M,2,0)</f>
        <v>#N/A</v>
      </c>
      <c r="E132" s="238">
        <v>146</v>
      </c>
      <c r="F132" s="239" t="e">
        <f t="shared" si="1154"/>
        <v>#N/A</v>
      </c>
      <c r="G132" s="238" t="e">
        <f>VLOOKUP(B132,'[2]项目库建设情况统计表'!$C:$M,3,0)</f>
        <v>#N/A</v>
      </c>
      <c r="H132" s="238">
        <v>88028.199999999997</v>
      </c>
      <c r="I132" s="239" t="e">
        <f t="shared" si="1155"/>
        <v>#N/A</v>
      </c>
      <c r="J132" s="240">
        <v>41</v>
      </c>
      <c r="K132" s="239">
        <f t="shared" si="1156"/>
        <v>1.02320938357874e-002</v>
      </c>
      <c r="L132" s="241">
        <v>0.32000000000000001</v>
      </c>
      <c r="M132" s="239">
        <f t="shared" si="1157"/>
        <v>0</v>
      </c>
      <c r="N132" s="242" t="e">
        <f t="shared" si="1158"/>
        <v>#N/A</v>
      </c>
      <c r="O132" s="134" t="e">
        <f t="shared" si="1159"/>
        <v>#N/A</v>
      </c>
    </row>
    <row r="133">
      <c r="A133" s="235">
        <v>116</v>
      </c>
      <c r="B133" s="243" t="s">
        <v>214</v>
      </c>
      <c r="C133" s="237" t="s">
        <v>93</v>
      </c>
      <c r="D133" s="238" t="e">
        <f>VLOOKUP(B133,'[2]项目库建设情况统计表'!$C:$M,2,0)</f>
        <v>#N/A</v>
      </c>
      <c r="E133" s="238">
        <v>95</v>
      </c>
      <c r="F133" s="239" t="e">
        <f t="shared" si="1154"/>
        <v>#N/A</v>
      </c>
      <c r="G133" s="238" t="e">
        <f>VLOOKUP(B133,'[2]项目库建设情况统计表'!$C:$M,3,0)</f>
        <v>#N/A</v>
      </c>
      <c r="H133" s="238">
        <v>51845.269999999997</v>
      </c>
      <c r="I133" s="239" t="e">
        <f t="shared" si="1155"/>
        <v>#N/A</v>
      </c>
      <c r="J133" s="240">
        <v>11</v>
      </c>
      <c r="K133" s="239">
        <f t="shared" si="1156"/>
        <v>2.7451959071624699e-003</v>
      </c>
      <c r="L133" s="241">
        <v>0.60999999999999999</v>
      </c>
      <c r="M133" s="239">
        <f t="shared" si="1157"/>
        <v>0.60999999999999999</v>
      </c>
      <c r="N133" s="242" t="e">
        <f t="shared" si="1158"/>
        <v>#N/A</v>
      </c>
      <c r="O133" s="134" t="e">
        <f t="shared" si="1159"/>
        <v>#N/A</v>
      </c>
    </row>
    <row r="134">
      <c r="A134" s="235">
        <v>117</v>
      </c>
      <c r="B134" s="243" t="s">
        <v>215</v>
      </c>
      <c r="C134" s="237" t="s">
        <v>93</v>
      </c>
      <c r="D134" s="238" t="e">
        <f>VLOOKUP(B134,'[2]项目库建设情况统计表'!$C:$M,2,0)</f>
        <v>#N/A</v>
      </c>
      <c r="E134" s="238">
        <v>96</v>
      </c>
      <c r="F134" s="239" t="e">
        <f t="shared" si="1154"/>
        <v>#N/A</v>
      </c>
      <c r="G134" s="238" t="e">
        <f>VLOOKUP(B134,'[2]项目库建设情况统计表'!$C:$M,3,0)</f>
        <v>#N/A</v>
      </c>
      <c r="H134" s="238">
        <v>42039.269999999997</v>
      </c>
      <c r="I134" s="239" t="e">
        <f t="shared" si="1155"/>
        <v>#N/A</v>
      </c>
      <c r="J134" s="240">
        <v>46</v>
      </c>
      <c r="K134" s="239">
        <f t="shared" si="1156"/>
        <v>1.1479910157224899e-002</v>
      </c>
      <c r="L134" s="241">
        <v>0.78000000000000003</v>
      </c>
      <c r="M134" s="239">
        <f t="shared" si="1157"/>
        <v>0.78000000000000003</v>
      </c>
      <c r="N134" s="242" t="e">
        <f t="shared" si="1158"/>
        <v>#N/A</v>
      </c>
      <c r="O134" s="134" t="e">
        <f t="shared" si="1159"/>
        <v>#N/A</v>
      </c>
    </row>
    <row r="135">
      <c r="A135" s="235">
        <v>118</v>
      </c>
      <c r="B135" s="243" t="s">
        <v>216</v>
      </c>
      <c r="C135" s="237" t="s">
        <v>93</v>
      </c>
      <c r="D135" s="238" t="e">
        <f>VLOOKUP(B135,'[2]项目库建设情况统计表'!$C:$M,2,0)</f>
        <v>#N/A</v>
      </c>
      <c r="E135" s="238">
        <v>739</v>
      </c>
      <c r="F135" s="239" t="e">
        <f t="shared" si="1154"/>
        <v>#N/A</v>
      </c>
      <c r="G135" s="238" t="e">
        <f>VLOOKUP(B135,'[2]项目库建设情况统计表'!$C:$M,3,0)</f>
        <v>#N/A</v>
      </c>
      <c r="H135" s="238">
        <v>113835.166</v>
      </c>
      <c r="I135" s="239" t="e">
        <f t="shared" si="1155"/>
        <v>#N/A</v>
      </c>
      <c r="J135" s="240">
        <v>500</v>
      </c>
      <c r="K135" s="239">
        <f t="shared" si="1156"/>
        <v>0.124781632143748</v>
      </c>
      <c r="L135" s="241">
        <v>0.71999999999999997</v>
      </c>
      <c r="M135" s="239">
        <f t="shared" si="1157"/>
        <v>0.71999999999999997</v>
      </c>
      <c r="N135" s="242" t="e">
        <f t="shared" si="1158"/>
        <v>#N/A</v>
      </c>
      <c r="O135" s="134" t="e">
        <f t="shared" si="1159"/>
        <v>#N/A</v>
      </c>
    </row>
    <row r="136">
      <c r="A136" s="228"/>
      <c r="B136" s="229" t="s">
        <v>462</v>
      </c>
      <c r="C136" s="230"/>
      <c r="D136" s="231"/>
      <c r="E136" s="231"/>
      <c r="F136" s="232"/>
      <c r="G136" s="231"/>
      <c r="H136" s="231"/>
      <c r="I136" s="232"/>
      <c r="J136" s="231"/>
      <c r="K136" s="232"/>
      <c r="L136" s="233"/>
      <c r="M136" s="232"/>
      <c r="N136" s="234"/>
    </row>
    <row r="137" ht="27">
      <c r="A137" s="235">
        <v>119</v>
      </c>
      <c r="B137" s="243" t="s">
        <v>219</v>
      </c>
      <c r="C137" s="237" t="s">
        <v>93</v>
      </c>
      <c r="D137" s="238" t="e">
        <f>VLOOKUP(B137,'[2]项目库建设情况统计表'!$C:$M,2,0)</f>
        <v>#N/A</v>
      </c>
      <c r="E137" s="238">
        <v>68</v>
      </c>
      <c r="F137" s="239" t="e">
        <f t="shared" si="1154"/>
        <v>#N/A</v>
      </c>
      <c r="G137" s="238" t="e">
        <f>VLOOKUP(B137,'[2]项目库建设情况统计表'!$C:$M,3,0)</f>
        <v>#N/A</v>
      </c>
      <c r="H137" s="238">
        <v>55096.347396999998</v>
      </c>
      <c r="I137" s="239" t="e">
        <f t="shared" si="1155"/>
        <v>#N/A</v>
      </c>
      <c r="J137" s="240">
        <v>60</v>
      </c>
      <c r="K137" s="239">
        <f t="shared" si="1156"/>
        <v>1.49737958572498e-002</v>
      </c>
      <c r="L137" s="241">
        <v>0.93000000000000005</v>
      </c>
      <c r="M137" s="239">
        <f t="shared" si="1157"/>
        <v>0.93000000000000005</v>
      </c>
      <c r="N137" s="242" t="e">
        <f t="shared" si="1158"/>
        <v>#N/A</v>
      </c>
      <c r="O137" s="134" t="e">
        <f t="shared" si="1159"/>
        <v>#N/A</v>
      </c>
    </row>
    <row r="138">
      <c r="A138" s="235">
        <v>120</v>
      </c>
      <c r="B138" s="243" t="s">
        <v>220</v>
      </c>
      <c r="C138" s="237" t="s">
        <v>93</v>
      </c>
      <c r="D138" s="238" t="e">
        <f>VLOOKUP(B138,'[2]项目库建设情况统计表'!$C:$M,2,0)</f>
        <v>#N/A</v>
      </c>
      <c r="E138" s="238">
        <v>68</v>
      </c>
      <c r="F138" s="239" t="e">
        <f t="shared" si="1154"/>
        <v>#N/A</v>
      </c>
      <c r="G138" s="238" t="e">
        <f>VLOOKUP(B138,'[2]项目库建设情况统计表'!$C:$M,3,0)</f>
        <v>#N/A</v>
      </c>
      <c r="H138" s="238">
        <v>47951.459999999999</v>
      </c>
      <c r="I138" s="239" t="e">
        <f t="shared" si="1155"/>
        <v>#N/A</v>
      </c>
      <c r="J138" s="240">
        <v>2</v>
      </c>
      <c r="K138" s="239">
        <f t="shared" si="1156"/>
        <v>4.9912652857499401e-004</v>
      </c>
      <c r="L138" s="241">
        <v>0.48999999999999999</v>
      </c>
      <c r="M138" s="239">
        <f t="shared" si="1157"/>
        <v>0</v>
      </c>
      <c r="N138" s="242" t="e">
        <f t="shared" si="1158"/>
        <v>#N/A</v>
      </c>
      <c r="O138" s="134" t="e">
        <f t="shared" si="1159"/>
        <v>#N/A</v>
      </c>
    </row>
    <row r="139">
      <c r="A139" s="235">
        <v>121</v>
      </c>
      <c r="B139" s="243" t="s">
        <v>221</v>
      </c>
      <c r="C139" s="237" t="s">
        <v>93</v>
      </c>
      <c r="D139" s="238" t="e">
        <f>VLOOKUP(B139,'[2]项目库建设情况统计表'!$C:$M,2,0)</f>
        <v>#N/A</v>
      </c>
      <c r="E139" s="238">
        <v>65</v>
      </c>
      <c r="F139" s="239" t="e">
        <f t="shared" si="1154"/>
        <v>#N/A</v>
      </c>
      <c r="G139" s="238" t="e">
        <f>VLOOKUP(B139,'[2]项目库建设情况统计表'!$C:$M,3,0)</f>
        <v>#N/A</v>
      </c>
      <c r="H139" s="238">
        <v>57179.120000000003</v>
      </c>
      <c r="I139" s="239" t="e">
        <f t="shared" si="1155"/>
        <v>#N/A</v>
      </c>
      <c r="J139" s="240">
        <v>16</v>
      </c>
      <c r="K139" s="239">
        <f t="shared" si="1156"/>
        <v>3.9930122285999504e-003</v>
      </c>
      <c r="L139" s="241">
        <v>0.56999999999999995</v>
      </c>
      <c r="M139" s="239">
        <f t="shared" si="1157"/>
        <v>0.56999999999999995</v>
      </c>
      <c r="N139" s="242" t="e">
        <f t="shared" si="1158"/>
        <v>#N/A</v>
      </c>
      <c r="O139" s="134" t="e">
        <f t="shared" si="1159"/>
        <v>#N/A</v>
      </c>
    </row>
    <row r="140">
      <c r="A140" s="228"/>
      <c r="B140" s="229" t="s">
        <v>387</v>
      </c>
      <c r="C140" s="230"/>
      <c r="D140" s="231"/>
      <c r="E140" s="231"/>
      <c r="F140" s="232"/>
      <c r="G140" s="231"/>
      <c r="H140" s="231"/>
      <c r="I140" s="232"/>
      <c r="J140" s="231"/>
      <c r="K140" s="232"/>
      <c r="L140" s="233"/>
      <c r="M140" s="232"/>
      <c r="N140" s="234"/>
    </row>
    <row r="141">
      <c r="A141" s="235">
        <v>122</v>
      </c>
      <c r="B141" s="243" t="s">
        <v>224</v>
      </c>
      <c r="C141" s="237" t="s">
        <v>90</v>
      </c>
      <c r="D141" s="238" t="e">
        <f>VLOOKUP(B141,'[2]项目库建设情况统计表'!$C:$M,2,0)</f>
        <v>#N/A</v>
      </c>
      <c r="E141" s="238">
        <v>123</v>
      </c>
      <c r="F141" s="239" t="e">
        <f t="shared" si="1154"/>
        <v>#N/A</v>
      </c>
      <c r="G141" s="238" t="e">
        <f>VLOOKUP(B141,'[2]项目库建设情况统计表'!$C:$M,3,0)</f>
        <v>#N/A</v>
      </c>
      <c r="H141" s="238">
        <v>24558.009999999998</v>
      </c>
      <c r="I141" s="239" t="e">
        <f t="shared" si="1155"/>
        <v>#N/A</v>
      </c>
      <c r="J141" s="240">
        <v>4</v>
      </c>
      <c r="K141" s="239">
        <f t="shared" si="1156"/>
        <v>9.9825305714998803e-004</v>
      </c>
      <c r="L141" s="241">
        <v>0.72999999999999998</v>
      </c>
      <c r="M141" s="239">
        <f t="shared" si="1157"/>
        <v>0.72999999999999998</v>
      </c>
      <c r="N141" s="242" t="e">
        <f t="shared" si="1158"/>
        <v>#N/A</v>
      </c>
      <c r="O141" s="134" t="e">
        <f t="shared" si="1159"/>
        <v>#N/A</v>
      </c>
    </row>
    <row r="142">
      <c r="A142" s="235">
        <v>123</v>
      </c>
      <c r="B142" s="243" t="s">
        <v>225</v>
      </c>
      <c r="C142" s="237" t="s">
        <v>90</v>
      </c>
      <c r="D142" s="238" t="e">
        <f>VLOOKUP(B142,'[2]项目库建设情况统计表'!$C:$M,2,0)</f>
        <v>#N/A</v>
      </c>
      <c r="E142" s="238">
        <v>107</v>
      </c>
      <c r="F142" s="239" t="e">
        <f t="shared" si="1154"/>
        <v>#N/A</v>
      </c>
      <c r="G142" s="238" t="e">
        <f>VLOOKUP(B142,'[2]项目库建设情况统计表'!$C:$M,3,0)</f>
        <v>#N/A</v>
      </c>
      <c r="H142" s="238">
        <v>41276.599999999999</v>
      </c>
      <c r="I142" s="239" t="e">
        <f t="shared" si="1155"/>
        <v>#N/A</v>
      </c>
      <c r="J142" s="240"/>
      <c r="K142" s="239">
        <f t="shared" si="1156"/>
        <v>0</v>
      </c>
      <c r="L142" s="241">
        <v>0.46000000000000002</v>
      </c>
      <c r="M142" s="239">
        <f t="shared" si="1157"/>
        <v>0</v>
      </c>
      <c r="N142" s="242" t="e">
        <f t="shared" si="1158"/>
        <v>#N/A</v>
      </c>
      <c r="O142" s="134" t="e">
        <f t="shared" si="1159"/>
        <v>#N/A</v>
      </c>
    </row>
    <row r="143">
      <c r="A143" s="235">
        <v>124</v>
      </c>
      <c r="B143" s="243" t="s">
        <v>226</v>
      </c>
      <c r="C143" s="237" t="s">
        <v>90</v>
      </c>
      <c r="D143" s="238" t="e">
        <f>VLOOKUP(B143,'[2]项目库建设情况统计表'!$C:$M,2,0)</f>
        <v>#N/A</v>
      </c>
      <c r="E143" s="238">
        <v>32</v>
      </c>
      <c r="F143" s="239" t="e">
        <f t="shared" si="1154"/>
        <v>#N/A</v>
      </c>
      <c r="G143" s="238" t="e">
        <f>VLOOKUP(B143,'[2]项目库建设情况统计表'!$C:$M,3,0)</f>
        <v>#N/A</v>
      </c>
      <c r="H143" s="238">
        <v>10383.85</v>
      </c>
      <c r="I143" s="239" t="e">
        <f t="shared" si="1155"/>
        <v>#N/A</v>
      </c>
      <c r="J143" s="240">
        <v>17</v>
      </c>
      <c r="K143" s="239">
        <f t="shared" si="1156"/>
        <v>4.2425754928874498e-003</v>
      </c>
      <c r="L143" s="241">
        <v>0.96999999999999997</v>
      </c>
      <c r="M143" s="239">
        <f t="shared" si="1157"/>
        <v>0.96999999999999997</v>
      </c>
      <c r="N143" s="242" t="e">
        <f t="shared" si="1158"/>
        <v>#N/A</v>
      </c>
      <c r="O143" s="134" t="e">
        <f t="shared" si="1159"/>
        <v>#N/A</v>
      </c>
    </row>
    <row r="144">
      <c r="A144" s="235">
        <v>125</v>
      </c>
      <c r="B144" s="243" t="s">
        <v>227</v>
      </c>
      <c r="C144" s="237" t="s">
        <v>90</v>
      </c>
      <c r="D144" s="238" t="e">
        <f>VLOOKUP(B144,'[2]项目库建设情况统计表'!$C:$M,2,0)</f>
        <v>#N/A</v>
      </c>
      <c r="E144" s="238">
        <v>86</v>
      </c>
      <c r="F144" s="239" t="e">
        <f t="shared" si="1154"/>
        <v>#N/A</v>
      </c>
      <c r="G144" s="238" t="e">
        <f>VLOOKUP(B144,'[2]项目库建设情况统计表'!$C:$M,3,0)</f>
        <v>#N/A</v>
      </c>
      <c r="H144" s="238">
        <v>26949</v>
      </c>
      <c r="I144" s="239" t="e">
        <f t="shared" si="1155"/>
        <v>#N/A</v>
      </c>
      <c r="J144" s="240">
        <v>1</v>
      </c>
      <c r="K144" s="239">
        <f t="shared" si="1156"/>
        <v>2.4956326428749701e-004</v>
      </c>
      <c r="L144" s="241">
        <v>0.38</v>
      </c>
      <c r="M144" s="239">
        <f t="shared" si="1157"/>
        <v>0</v>
      </c>
      <c r="N144" s="242" t="e">
        <f t="shared" si="1158"/>
        <v>#N/A</v>
      </c>
      <c r="O144" s="134" t="e">
        <f t="shared" si="1159"/>
        <v>#N/A</v>
      </c>
    </row>
    <row r="145">
      <c r="A145" s="235">
        <v>126</v>
      </c>
      <c r="B145" s="243" t="s">
        <v>228</v>
      </c>
      <c r="C145" s="237" t="s">
        <v>90</v>
      </c>
      <c r="D145" s="238" t="e">
        <f>VLOOKUP(B145,'[2]项目库建设情况统计表'!$C:$M,2,0)</f>
        <v>#N/A</v>
      </c>
      <c r="E145" s="238">
        <v>49</v>
      </c>
      <c r="F145" s="239" t="e">
        <f t="shared" si="1154"/>
        <v>#N/A</v>
      </c>
      <c r="G145" s="238" t="e">
        <f>VLOOKUP(B145,'[2]项目库建设情况统计表'!$C:$M,3,0)</f>
        <v>#N/A</v>
      </c>
      <c r="H145" s="238">
        <v>16000.73</v>
      </c>
      <c r="I145" s="239" t="e">
        <f t="shared" si="1155"/>
        <v>#N/A</v>
      </c>
      <c r="J145" s="240">
        <v>2</v>
      </c>
      <c r="K145" s="239">
        <f t="shared" si="1156"/>
        <v>4.9912652857499401e-004</v>
      </c>
      <c r="L145" s="241">
        <v>0.62</v>
      </c>
      <c r="M145" s="239">
        <f t="shared" si="1157"/>
        <v>0.62</v>
      </c>
      <c r="N145" s="242" t="e">
        <f t="shared" si="1158"/>
        <v>#N/A</v>
      </c>
      <c r="O145" s="134" t="e">
        <f t="shared" si="1159"/>
        <v>#N/A</v>
      </c>
    </row>
    <row r="146">
      <c r="A146" s="235">
        <v>127</v>
      </c>
      <c r="B146" s="243" t="s">
        <v>229</v>
      </c>
      <c r="C146" s="237" t="s">
        <v>90</v>
      </c>
      <c r="D146" s="238" t="e">
        <f>VLOOKUP(B146,'[2]项目库建设情况统计表'!$C:$M,2,0)</f>
        <v>#N/A</v>
      </c>
      <c r="E146" s="238">
        <v>76</v>
      </c>
      <c r="F146" s="239" t="e">
        <f t="shared" si="1154"/>
        <v>#N/A</v>
      </c>
      <c r="G146" s="238" t="e">
        <f>VLOOKUP(B146,'[2]项目库建设情况统计表'!$C:$M,3,0)</f>
        <v>#N/A</v>
      </c>
      <c r="H146" s="238">
        <v>18233.009999999998</v>
      </c>
      <c r="I146" s="239" t="e">
        <f t="shared" si="1155"/>
        <v>#N/A</v>
      </c>
      <c r="J146" s="240">
        <v>11</v>
      </c>
      <c r="K146" s="239">
        <f t="shared" si="1156"/>
        <v>2.7451959071624699e-003</v>
      </c>
      <c r="L146" s="241">
        <v>0.41999999999999998</v>
      </c>
      <c r="M146" s="239">
        <f t="shared" si="1157"/>
        <v>0</v>
      </c>
      <c r="N146" s="242" t="e">
        <f t="shared" si="1158"/>
        <v>#N/A</v>
      </c>
      <c r="O146" s="134" t="e">
        <f t="shared" si="1159"/>
        <v>#N/A</v>
      </c>
    </row>
    <row r="147">
      <c r="A147" s="235">
        <v>128</v>
      </c>
      <c r="B147" s="243" t="s">
        <v>230</v>
      </c>
      <c r="C147" s="237" t="s">
        <v>90</v>
      </c>
      <c r="D147" s="238" t="e">
        <f>VLOOKUP(B147,'[2]项目库建设情况统计表'!$C:$M,2,0)</f>
        <v>#N/A</v>
      </c>
      <c r="E147" s="238">
        <v>221</v>
      </c>
      <c r="F147" s="239" t="e">
        <f t="shared" si="1154"/>
        <v>#N/A</v>
      </c>
      <c r="G147" s="238" t="e">
        <f>VLOOKUP(B147,'[2]项目库建设情况统计表'!$C:$M,3,0)</f>
        <v>#N/A</v>
      </c>
      <c r="H147" s="238">
        <v>78024.390100000004</v>
      </c>
      <c r="I147" s="239" t="e">
        <f t="shared" si="1155"/>
        <v>#N/A</v>
      </c>
      <c r="J147" s="240">
        <v>24</v>
      </c>
      <c r="K147" s="239">
        <f t="shared" si="1156"/>
        <v>5.9895183428999204e-003</v>
      </c>
      <c r="L147" s="241">
        <v>0.32000000000000001</v>
      </c>
      <c r="M147" s="239">
        <f t="shared" si="1157"/>
        <v>0</v>
      </c>
      <c r="N147" s="242" t="e">
        <f t="shared" si="1158"/>
        <v>#N/A</v>
      </c>
      <c r="O147" s="134" t="e">
        <f t="shared" si="1159"/>
        <v>#N/A</v>
      </c>
    </row>
    <row r="148">
      <c r="A148" s="235">
        <v>129</v>
      </c>
      <c r="B148" s="243" t="s">
        <v>231</v>
      </c>
      <c r="C148" s="237" t="s">
        <v>90</v>
      </c>
      <c r="D148" s="238" t="e">
        <f>VLOOKUP(B148,'[2]项目库建设情况统计表'!$C:$M,2,0)</f>
        <v>#N/A</v>
      </c>
      <c r="E148" s="238">
        <v>47</v>
      </c>
      <c r="F148" s="239" t="e">
        <f t="shared" si="1154"/>
        <v>#N/A</v>
      </c>
      <c r="G148" s="238" t="e">
        <f>VLOOKUP(B148,'[2]项目库建设情况统计表'!$C:$M,3,0)</f>
        <v>#N/A</v>
      </c>
      <c r="H148" s="238">
        <v>18557.959999999999</v>
      </c>
      <c r="I148" s="239" t="e">
        <f t="shared" si="1155"/>
        <v>#N/A</v>
      </c>
      <c r="J148" s="240">
        <v>3</v>
      </c>
      <c r="K148" s="239">
        <f t="shared" si="1156"/>
        <v>7.4868979286249102e-004</v>
      </c>
      <c r="L148" s="241">
        <v>0.97999999999999998</v>
      </c>
      <c r="M148" s="239">
        <f t="shared" si="1157"/>
        <v>0.97999999999999998</v>
      </c>
      <c r="N148" s="242" t="e">
        <f t="shared" si="1158"/>
        <v>#N/A</v>
      </c>
      <c r="O148" s="134" t="e">
        <f t="shared" si="1159"/>
        <v>#N/A</v>
      </c>
    </row>
    <row r="149">
      <c r="D149" s="135" t="e">
        <f t="shared" ref="D149:K149" si="1160">SUM(D4:D148)</f>
        <v>#N/A</v>
      </c>
      <c r="E149" s="135">
        <f t="shared" si="1160"/>
        <v>16712</v>
      </c>
      <c r="F149" s="135" t="e">
        <f t="shared" si="1160"/>
        <v>#N/A</v>
      </c>
      <c r="G149" s="135" t="e">
        <f t="shared" si="1160"/>
        <v>#N/A</v>
      </c>
      <c r="H149" s="135">
        <f t="shared" si="1160"/>
        <v>5240065.571641</v>
      </c>
      <c r="I149" s="135" t="e">
        <f t="shared" si="1160"/>
        <v>#N/A</v>
      </c>
      <c r="J149" s="135">
        <f t="shared" si="1160"/>
        <v>4007</v>
      </c>
      <c r="K149" s="135">
        <f t="shared" si="1160"/>
        <v>1</v>
      </c>
      <c r="O149" s="134" t="e">
        <f>SUM(O4:O148)-O5-O7-O8-O10-O18</f>
        <v>#N/A</v>
      </c>
    </row>
  </sheetData>
  <mergeCells count="1">
    <mergeCell ref="A2:N2"/>
  </mergeCell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codeName="Sheet9">
    <outlinePr applyStyles="0" summaryBelow="1" summaryRight="1" showOutlineSymbols="1"/>
    <pageSetUpPr autoPageBreaks="1" fitToPage="0"/>
  </sheetPr>
  <sheetViews>
    <sheetView zoomScale="100" workbookViewId="0">
      <pane xSplit="1" ySplit="3" topLeftCell="B4" activePane="bottomRight" state="frozen"/>
      <selection activeCell="BC15" activeCellId="0" sqref="BC15"/>
    </sheetView>
  </sheetViews>
  <sheetFormatPr defaultColWidth="8.8833333333333293" defaultRowHeight="14.25"/>
  <cols>
    <col customWidth="1" min="1" max="1" style="245" width="8"/>
    <col customWidth="1" min="2" max="2" style="246" width="13.824999999999999"/>
    <col customWidth="1" min="3" max="3" style="213" width="9.125"/>
    <col customWidth="1" min="4" max="5" style="213" width="10.375"/>
    <col customWidth="1" min="6" max="6" style="215" width="10.375"/>
    <col customWidth="1" min="7" max="9" style="213" width="10.375"/>
    <col customWidth="1" min="10" max="10" style="215" width="10.375"/>
    <col customWidth="1" min="11" max="11" style="213" width="10.375"/>
    <col customWidth="1" min="12" max="12" style="84" width="10.766666666666699"/>
    <col min="13" max="13" style="84" width="8.8833333333333293"/>
    <col customWidth="1" min="14" max="14" style="84" width="13.675000000000001"/>
    <col customWidth="1" min="15" max="15" style="84" width="12.358333333333301"/>
    <col customWidth="1" min="16" max="16" style="84" width="12.783333333333299"/>
    <col customWidth="1" min="17" max="17" style="84" width="13.525"/>
    <col min="18" max="16384" style="84" width="8.8833333333333293"/>
  </cols>
  <sheetData>
    <row r="1">
      <c r="A1" s="211" t="s">
        <v>0</v>
      </c>
    </row>
    <row r="2" s="247" customFormat="1" ht="53" customHeight="1">
      <c r="A2" s="217" t="s">
        <v>1140</v>
      </c>
      <c r="B2" s="217"/>
      <c r="C2" s="217"/>
      <c r="D2" s="217"/>
      <c r="E2" s="217"/>
      <c r="F2" s="248"/>
      <c r="G2" s="217"/>
      <c r="H2" s="217"/>
      <c r="I2" s="217"/>
      <c r="J2" s="248"/>
      <c r="K2" s="217"/>
      <c r="L2" s="217"/>
      <c r="N2" s="249"/>
      <c r="O2" s="249"/>
      <c r="P2" s="249"/>
      <c r="Q2" s="249"/>
    </row>
    <row r="3" s="250" customFormat="1" ht="80" customHeight="1">
      <c r="A3" s="221" t="s">
        <v>3</v>
      </c>
      <c r="B3" s="223" t="s">
        <v>4</v>
      </c>
      <c r="C3" s="223" t="s">
        <v>1130</v>
      </c>
      <c r="D3" s="225" t="s">
        <v>1141</v>
      </c>
      <c r="E3" s="225" t="s">
        <v>1142</v>
      </c>
      <c r="F3" s="224" t="s">
        <v>1143</v>
      </c>
      <c r="G3" s="225" t="s">
        <v>1144</v>
      </c>
      <c r="H3" s="225" t="s">
        <v>1145</v>
      </c>
      <c r="I3" s="225" t="s">
        <v>1146</v>
      </c>
      <c r="J3" s="224" t="s">
        <v>1147</v>
      </c>
      <c r="K3" s="225" t="s">
        <v>1148</v>
      </c>
      <c r="L3" s="225" t="s">
        <v>439</v>
      </c>
    </row>
    <row r="4" s="251" customFormat="1" ht="23.25" customHeight="1">
      <c r="A4" s="228"/>
      <c r="B4" s="229" t="s">
        <v>72</v>
      </c>
      <c r="C4" s="230"/>
      <c r="D4" s="252">
        <v>0.626</v>
      </c>
      <c r="E4" s="232"/>
      <c r="F4" s="231">
        <v>53970.019999999997</v>
      </c>
      <c r="G4" s="232"/>
      <c r="H4" s="252">
        <v>0.75800000000000001</v>
      </c>
      <c r="I4" s="232">
        <v>0.11393193036726799</v>
      </c>
      <c r="J4" s="231">
        <v>72066.220000000001</v>
      </c>
      <c r="K4" s="232"/>
      <c r="L4" s="234"/>
    </row>
    <row r="5" s="251" customFormat="1" ht="23.25" customHeight="1">
      <c r="A5" s="235">
        <v>1</v>
      </c>
      <c r="B5" s="236" t="s">
        <v>57</v>
      </c>
      <c r="C5" s="237" t="s">
        <v>78</v>
      </c>
      <c r="D5" s="253">
        <v>1</v>
      </c>
      <c r="E5" s="239">
        <f t="shared" ref="E5:E18" si="1161">IF(D5&gt;=50%,1*D5,0)</f>
        <v>1</v>
      </c>
      <c r="F5" s="240">
        <v>322</v>
      </c>
      <c r="G5" s="239">
        <f t="shared" ref="G5:G18" si="1162">F5/$F$149</f>
        <v>2.96680677611297e-004</v>
      </c>
      <c r="H5" s="253">
        <v>1</v>
      </c>
      <c r="I5" s="239">
        <f t="shared" ref="I5:I18" si="1163">IF(H5&gt;=75%,1*H5,0)</f>
        <v>1</v>
      </c>
      <c r="J5" s="238">
        <v>322</v>
      </c>
      <c r="K5" s="239">
        <f t="shared" ref="K5:K18" si="1164">J5/$J$149</f>
        <v>1.8005987829741599e-004</v>
      </c>
      <c r="L5" s="242">
        <f t="shared" ref="L5:L18" si="1165">(E5*0.1+G5*0.4+I5*0.1+K5*0.4)*100</f>
        <v>20.019069622236302</v>
      </c>
    </row>
    <row r="6" s="254" customFormat="1" ht="23.25" customHeight="1">
      <c r="A6" s="235">
        <v>2</v>
      </c>
      <c r="B6" s="243" t="s">
        <v>59</v>
      </c>
      <c r="C6" s="237" t="s">
        <v>78</v>
      </c>
      <c r="D6" s="253">
        <v>0.73599999999999999</v>
      </c>
      <c r="E6" s="239">
        <f t="shared" si="1161"/>
        <v>0.73599999999999999</v>
      </c>
      <c r="F6" s="240">
        <v>933.40999999999997</v>
      </c>
      <c r="G6" s="239">
        <f t="shared" si="1162"/>
        <v>8.6001463133279603e-004</v>
      </c>
      <c r="H6" s="253">
        <v>0.83999999999999997</v>
      </c>
      <c r="I6" s="239">
        <f t="shared" si="1163"/>
        <v>0.83999999999999997</v>
      </c>
      <c r="J6" s="238">
        <v>1195.3800000000001</v>
      </c>
      <c r="K6" s="239">
        <f t="shared" si="1164"/>
        <v>6.6844713453156999e-004</v>
      </c>
      <c r="L6" s="242">
        <f t="shared" si="1165"/>
        <v>15.821138470634599</v>
      </c>
    </row>
    <row r="7" s="254" customFormat="1" ht="23.25" customHeight="1">
      <c r="A7" s="235">
        <v>3</v>
      </c>
      <c r="B7" s="236" t="s">
        <v>61</v>
      </c>
      <c r="C7" s="237" t="s">
        <v>78</v>
      </c>
      <c r="D7" s="253">
        <v>1</v>
      </c>
      <c r="E7" s="239">
        <f t="shared" si="1161"/>
        <v>1</v>
      </c>
      <c r="F7" s="240">
        <v>122</v>
      </c>
      <c r="G7" s="239">
        <f t="shared" si="1162"/>
        <v>1.1240696480924899e-004</v>
      </c>
      <c r="H7" s="253">
        <v>1</v>
      </c>
      <c r="I7" s="239">
        <f t="shared" si="1163"/>
        <v>1</v>
      </c>
      <c r="J7" s="238">
        <v>122</v>
      </c>
      <c r="K7" s="239">
        <f t="shared" si="1164"/>
        <v>6.8221444572313095e-005</v>
      </c>
      <c r="L7" s="242">
        <f t="shared" si="1165"/>
        <v>20.0072251363753</v>
      </c>
    </row>
    <row r="8" s="254" customFormat="1" ht="23.25" customHeight="1">
      <c r="A8" s="235">
        <v>4</v>
      </c>
      <c r="B8" s="236" t="s">
        <v>63</v>
      </c>
      <c r="C8" s="237" t="s">
        <v>78</v>
      </c>
      <c r="D8" s="253">
        <v>0.74299999999999999</v>
      </c>
      <c r="E8" s="239">
        <f t="shared" si="1161"/>
        <v>0.74299999999999999</v>
      </c>
      <c r="F8" s="240">
        <v>1534.1700000000001</v>
      </c>
      <c r="G8" s="239">
        <f t="shared" si="1162"/>
        <v>1.4135360098475899e-003</v>
      </c>
      <c r="H8" s="253">
        <v>0.82999999999999996</v>
      </c>
      <c r="I8" s="239">
        <f t="shared" si="1163"/>
        <v>0.82999999999999996</v>
      </c>
      <c r="J8" s="238">
        <v>1713.05</v>
      </c>
      <c r="K8" s="239">
        <f t="shared" si="1164"/>
        <v>9.5792414446394197e-004</v>
      </c>
      <c r="L8" s="242">
        <f t="shared" si="1165"/>
        <v>15.824858406172501</v>
      </c>
    </row>
    <row r="9" s="254" customFormat="1" ht="23.25" customHeight="1">
      <c r="A9" s="235">
        <v>5</v>
      </c>
      <c r="B9" s="243" t="s">
        <v>65</v>
      </c>
      <c r="C9" s="237" t="s">
        <v>93</v>
      </c>
      <c r="D9" s="253">
        <v>0.66000000000000003</v>
      </c>
      <c r="E9" s="239">
        <f t="shared" si="1161"/>
        <v>0.66000000000000003</v>
      </c>
      <c r="F9" s="240">
        <v>20223.75</v>
      </c>
      <c r="G9" s="239">
        <f t="shared" si="1162"/>
        <v>1.86335274964021e-002</v>
      </c>
      <c r="H9" s="253">
        <v>0.79100000000000004</v>
      </c>
      <c r="I9" s="239">
        <f t="shared" si="1163"/>
        <v>0.79100000000000004</v>
      </c>
      <c r="J9" s="238">
        <v>28136.130000000001</v>
      </c>
      <c r="K9" s="239">
        <f t="shared" si="1164"/>
        <v>1.5733503551429499e-002</v>
      </c>
      <c r="L9" s="242">
        <f t="shared" si="1165"/>
        <v>15.884681241913301</v>
      </c>
    </row>
    <row r="10" s="254" customFormat="1" ht="23.25" customHeight="1">
      <c r="A10" s="235">
        <v>6</v>
      </c>
      <c r="B10" s="236" t="s">
        <v>67</v>
      </c>
      <c r="C10" s="237" t="s">
        <v>78</v>
      </c>
      <c r="D10" s="253">
        <v>1</v>
      </c>
      <c r="E10" s="239">
        <f t="shared" si="1161"/>
        <v>1</v>
      </c>
      <c r="F10" s="240">
        <v>112</v>
      </c>
      <c r="G10" s="239">
        <f t="shared" si="1162"/>
        <v>1.03193279169147e-004</v>
      </c>
      <c r="H10" s="253">
        <v>1</v>
      </c>
      <c r="I10" s="239">
        <f t="shared" si="1163"/>
        <v>1</v>
      </c>
      <c r="J10" s="238">
        <v>112</v>
      </c>
      <c r="K10" s="239">
        <f t="shared" si="1164"/>
        <v>6.2629522886057897e-005</v>
      </c>
      <c r="L10" s="242">
        <f t="shared" si="1165"/>
        <v>20.0066329120822</v>
      </c>
    </row>
    <row r="11" s="251" customFormat="1" ht="23.25" customHeight="1">
      <c r="A11" s="235">
        <v>7</v>
      </c>
      <c r="B11" s="243" t="s">
        <v>69</v>
      </c>
      <c r="C11" s="237" t="s">
        <v>78</v>
      </c>
      <c r="D11" s="253">
        <v>0.90200000000000002</v>
      </c>
      <c r="E11" s="239">
        <f t="shared" si="1161"/>
        <v>0.90200000000000002</v>
      </c>
      <c r="F11" s="240">
        <v>5801.8999999999996</v>
      </c>
      <c r="G11" s="239">
        <f t="shared" si="1162"/>
        <v>5.3456882715310003e-003</v>
      </c>
      <c r="H11" s="253">
        <v>0.92900000000000005</v>
      </c>
      <c r="I11" s="239">
        <f t="shared" si="1163"/>
        <v>0.92900000000000005</v>
      </c>
      <c r="J11" s="238">
        <v>6142.3999999999996</v>
      </c>
      <c r="K11" s="239">
        <f t="shared" si="1164"/>
        <v>3.4347819765653698e-003</v>
      </c>
      <c r="L11" s="242">
        <f t="shared" si="1165"/>
        <v>18.661218809923898</v>
      </c>
    </row>
    <row r="12" s="254" customFormat="1" ht="23.25" customHeight="1">
      <c r="A12" s="244">
        <v>8</v>
      </c>
      <c r="B12" s="243" t="s">
        <v>71</v>
      </c>
      <c r="C12" s="237" t="s">
        <v>78</v>
      </c>
      <c r="D12" s="253">
        <v>0.65100000000000002</v>
      </c>
      <c r="E12" s="239">
        <f t="shared" si="1161"/>
        <v>0.65100000000000002</v>
      </c>
      <c r="F12" s="240">
        <v>1482.23</v>
      </c>
      <c r="G12" s="239">
        <f t="shared" si="1162"/>
        <v>1.3656801266329001e-003</v>
      </c>
      <c r="H12" s="253">
        <v>0.86299999999999999</v>
      </c>
      <c r="I12" s="239">
        <f t="shared" si="1163"/>
        <v>0.86299999999999999</v>
      </c>
      <c r="J12" s="238">
        <v>2322.4000000000001</v>
      </c>
      <c r="K12" s="239">
        <f t="shared" si="1164"/>
        <v>1.2986678924159e-003</v>
      </c>
      <c r="L12" s="242">
        <f t="shared" si="1165"/>
        <v>15.246573920762</v>
      </c>
    </row>
    <row r="13" s="251" customFormat="1" ht="23.25" customHeight="1">
      <c r="A13" s="235">
        <v>9</v>
      </c>
      <c r="B13" s="243" t="s">
        <v>73</v>
      </c>
      <c r="C13" s="237" t="s">
        <v>78</v>
      </c>
      <c r="D13" s="253">
        <v>0.48699999999999999</v>
      </c>
      <c r="E13" s="239">
        <f t="shared" si="1161"/>
        <v>0</v>
      </c>
      <c r="F13" s="240">
        <v>875.76999999999998</v>
      </c>
      <c r="G13" s="239">
        <f t="shared" si="1162"/>
        <v>8.0690694730324597e-004</v>
      </c>
      <c r="H13" s="253">
        <v>0.69099999999999995</v>
      </c>
      <c r="I13" s="239">
        <f t="shared" si="1163"/>
        <v>0</v>
      </c>
      <c r="J13" s="238">
        <v>1638.1700000000001</v>
      </c>
      <c r="K13" s="239">
        <f t="shared" si="1164"/>
        <v>9.16051834877263e-004</v>
      </c>
      <c r="L13" s="242">
        <f t="shared" si="1165"/>
        <v>6.8918351287220403e-002</v>
      </c>
    </row>
    <row r="14" s="254" customFormat="1" ht="23.25" customHeight="1">
      <c r="A14" s="235">
        <v>10</v>
      </c>
      <c r="B14" s="243" t="s">
        <v>75</v>
      </c>
      <c r="C14" s="237" t="s">
        <v>78</v>
      </c>
      <c r="D14" s="253">
        <v>0.70299999999999996</v>
      </c>
      <c r="E14" s="239">
        <f t="shared" si="1161"/>
        <v>0.70299999999999996</v>
      </c>
      <c r="F14" s="240">
        <v>1381.8699999999999</v>
      </c>
      <c r="G14" s="239">
        <f t="shared" si="1162"/>
        <v>1.2732115775488299e-003</v>
      </c>
      <c r="H14" s="253">
        <v>0.75800000000000001</v>
      </c>
      <c r="I14" s="239">
        <f t="shared" si="1163"/>
        <v>0.75800000000000001</v>
      </c>
      <c r="J14" s="238">
        <v>1811.9400000000001</v>
      </c>
      <c r="K14" s="239">
        <f t="shared" si="1164"/>
        <v>1.0132226580193201e-003</v>
      </c>
      <c r="L14" s="242">
        <f t="shared" si="1165"/>
        <v>14.7014573694227</v>
      </c>
    </row>
    <row r="15" s="254" customFormat="1" ht="24" customHeight="1">
      <c r="A15" s="235">
        <v>11</v>
      </c>
      <c r="B15" s="243" t="s">
        <v>77</v>
      </c>
      <c r="C15" s="237" t="s">
        <v>78</v>
      </c>
      <c r="D15" s="253">
        <v>0.61099999999999999</v>
      </c>
      <c r="E15" s="239">
        <f t="shared" si="1161"/>
        <v>0.61099999999999999</v>
      </c>
      <c r="F15" s="240">
        <v>1232.73</v>
      </c>
      <c r="G15" s="239">
        <f t="shared" si="1162"/>
        <v>1.1357986699123399e-003</v>
      </c>
      <c r="H15" s="253">
        <v>0.90600000000000003</v>
      </c>
      <c r="I15" s="239">
        <f t="shared" si="1163"/>
        <v>0.90600000000000003</v>
      </c>
      <c r="J15" s="238">
        <v>2140.73</v>
      </c>
      <c r="K15" s="239">
        <f t="shared" si="1164"/>
        <v>1.1970794511416999e-003</v>
      </c>
      <c r="L15" s="242">
        <f t="shared" si="1165"/>
        <v>15.263315124842199</v>
      </c>
    </row>
    <row r="16" s="255" customFormat="1" ht="23.25" customHeight="1">
      <c r="A16" s="235">
        <v>12</v>
      </c>
      <c r="B16" s="243" t="s">
        <v>79</v>
      </c>
      <c r="C16" s="237" t="s">
        <v>90</v>
      </c>
      <c r="D16" s="253">
        <v>0.57299999999999995</v>
      </c>
      <c r="E16" s="239">
        <f t="shared" si="1161"/>
        <v>0.57299999999999995</v>
      </c>
      <c r="F16" s="240">
        <v>9937.2199999999993</v>
      </c>
      <c r="G16" s="239">
        <f t="shared" si="1162"/>
        <v>9.1558421216538198e-003</v>
      </c>
      <c r="H16" s="253">
        <v>0.65200000000000002</v>
      </c>
      <c r="I16" s="239">
        <f t="shared" si="1163"/>
        <v>0</v>
      </c>
      <c r="J16" s="238">
        <v>11986.790000000001</v>
      </c>
      <c r="K16" s="239">
        <f t="shared" si="1164"/>
        <v>6.7029190949586598e-003</v>
      </c>
      <c r="L16" s="242">
        <f t="shared" si="1165"/>
        <v>6.3643504486645002</v>
      </c>
    </row>
    <row r="17" s="254" customFormat="1" ht="23.25" customHeight="1">
      <c r="A17" s="235">
        <v>13</v>
      </c>
      <c r="B17" s="243" t="s">
        <v>80</v>
      </c>
      <c r="C17" s="237" t="s">
        <v>90</v>
      </c>
      <c r="D17" s="253">
        <v>0.52300000000000002</v>
      </c>
      <c r="E17" s="239">
        <f t="shared" si="1161"/>
        <v>0.52300000000000002</v>
      </c>
      <c r="F17" s="240">
        <v>9818.9899999999998</v>
      </c>
      <c r="G17" s="239">
        <f t="shared" si="1162"/>
        <v>9.0469087163308898e-003</v>
      </c>
      <c r="H17" s="253">
        <v>0.69899999999999995</v>
      </c>
      <c r="I17" s="239">
        <f t="shared" si="1163"/>
        <v>0</v>
      </c>
      <c r="J17" s="238">
        <v>14225.24</v>
      </c>
      <c r="K17" s="239">
        <f t="shared" si="1164"/>
        <v>7.9546428048184493e-003</v>
      </c>
      <c r="L17" s="242">
        <f t="shared" si="1165"/>
        <v>5.91006206084597</v>
      </c>
    </row>
    <row r="18" s="251" customFormat="1" ht="23.25" customHeight="1">
      <c r="A18" s="235">
        <v>14</v>
      </c>
      <c r="B18" s="236" t="s">
        <v>81</v>
      </c>
      <c r="C18" s="237" t="s">
        <v>78</v>
      </c>
      <c r="D18" s="253">
        <v>1</v>
      </c>
      <c r="E18" s="239">
        <f t="shared" si="1161"/>
        <v>1</v>
      </c>
      <c r="F18" s="240">
        <v>192</v>
      </c>
      <c r="G18" s="239">
        <f t="shared" si="1162"/>
        <v>1.76902764289966e-004</v>
      </c>
      <c r="H18" s="253">
        <v>1</v>
      </c>
      <c r="I18" s="239">
        <f t="shared" si="1163"/>
        <v>1</v>
      </c>
      <c r="J18" s="238">
        <v>192</v>
      </c>
      <c r="K18" s="239">
        <f t="shared" si="1164"/>
        <v>1.0736489637609899e-004</v>
      </c>
      <c r="L18" s="242">
        <f t="shared" si="1165"/>
        <v>20.0113707064266</v>
      </c>
    </row>
    <row r="19" s="254" customFormat="1" ht="23.25" customHeight="1">
      <c r="A19" s="228"/>
      <c r="B19" s="229" t="s">
        <v>82</v>
      </c>
      <c r="C19" s="230"/>
      <c r="D19" s="252">
        <v>0.52200000000000002</v>
      </c>
      <c r="E19" s="232"/>
      <c r="F19" s="231">
        <v>233471.84</v>
      </c>
      <c r="G19" s="232"/>
      <c r="H19" s="252">
        <v>0.73899999999999999</v>
      </c>
      <c r="I19" s="232">
        <v>0.11107611680925</v>
      </c>
      <c r="J19" s="231">
        <v>372086.28000000003</v>
      </c>
      <c r="K19" s="232"/>
      <c r="L19" s="234"/>
    </row>
    <row r="20" s="254" customFormat="1" ht="23.25" customHeight="1">
      <c r="A20" s="235">
        <v>15</v>
      </c>
      <c r="B20" s="243" t="s">
        <v>84</v>
      </c>
      <c r="C20" s="237" t="s">
        <v>93</v>
      </c>
      <c r="D20" s="253">
        <v>0.51100000000000001</v>
      </c>
      <c r="E20" s="239">
        <f t="shared" ref="E20:E83" si="1166">IF(D20&gt;=50%,1*D20,0)</f>
        <v>0.51100000000000001</v>
      </c>
      <c r="F20" s="240">
        <v>26037.630000000001</v>
      </c>
      <c r="G20" s="239">
        <f t="shared" ref="G20:G83" si="1167">F20/$F$149</f>
        <v>2.3990253763329899e-002</v>
      </c>
      <c r="H20" s="253">
        <v>0.59399999999999997</v>
      </c>
      <c r="I20" s="239">
        <f t="shared" ref="I20:I83" si="1168">IF(H20&gt;=75%,1*H20,0)</f>
        <v>0</v>
      </c>
      <c r="J20" s="238">
        <v>35661.690000000002</v>
      </c>
      <c r="K20" s="239">
        <f t="shared" ref="K20:K83" si="1169">J20/$J$149</f>
        <v>1.9941737767950898e-002</v>
      </c>
      <c r="L20" s="242">
        <f t="shared" ref="L20:L83" si="1170">(E20*0.1+G20*0.4+I20*0.1+K20*0.4)*100</f>
        <v>6.8672796612512297</v>
      </c>
    </row>
    <row r="21" s="251" customFormat="1" ht="23.25" customHeight="1">
      <c r="A21" s="235">
        <v>16</v>
      </c>
      <c r="B21" s="243" t="s">
        <v>85</v>
      </c>
      <c r="C21" s="237" t="s">
        <v>93</v>
      </c>
      <c r="D21" s="253">
        <v>0.504</v>
      </c>
      <c r="E21" s="239">
        <f t="shared" si="1166"/>
        <v>0.504</v>
      </c>
      <c r="F21" s="240">
        <v>17520.5</v>
      </c>
      <c r="G21" s="239">
        <f t="shared" si="1167"/>
        <v>1.61428379257414e-002</v>
      </c>
      <c r="H21" s="253">
        <v>0.73199999999999998</v>
      </c>
      <c r="I21" s="239">
        <f t="shared" si="1168"/>
        <v>0</v>
      </c>
      <c r="J21" s="238">
        <v>29849.130000000001</v>
      </c>
      <c r="K21" s="239">
        <f t="shared" si="1169"/>
        <v>1.6691399736285001e-002</v>
      </c>
      <c r="L21" s="242">
        <f t="shared" si="1170"/>
        <v>6.3533695064810596</v>
      </c>
    </row>
    <row r="22" s="251" customFormat="1" ht="23.25" customHeight="1">
      <c r="A22" s="235">
        <v>17</v>
      </c>
      <c r="B22" s="243" t="s">
        <v>86</v>
      </c>
      <c r="C22" s="237" t="s">
        <v>93</v>
      </c>
      <c r="D22" s="253">
        <v>0.51000000000000001</v>
      </c>
      <c r="E22" s="239">
        <f t="shared" si="1166"/>
        <v>0.51000000000000001</v>
      </c>
      <c r="F22" s="240">
        <v>17898.57</v>
      </c>
      <c r="G22" s="239">
        <f t="shared" si="1167"/>
        <v>1.6491179738736698e-002</v>
      </c>
      <c r="H22" s="253">
        <v>0.752</v>
      </c>
      <c r="I22" s="239">
        <f t="shared" si="1168"/>
        <v>0.752</v>
      </c>
      <c r="J22" s="238">
        <v>29123.049999999999</v>
      </c>
      <c r="K22" s="239">
        <f t="shared" si="1169"/>
        <v>1.6285381486489399e-002</v>
      </c>
      <c r="L22" s="242">
        <f t="shared" si="1170"/>
        <v>13.931062449009</v>
      </c>
    </row>
    <row r="23" s="251" customFormat="1" ht="23.25" customHeight="1">
      <c r="A23" s="235">
        <v>18</v>
      </c>
      <c r="B23" s="243" t="s">
        <v>87</v>
      </c>
      <c r="C23" s="237" t="s">
        <v>90</v>
      </c>
      <c r="D23" s="253">
        <v>0.52100000000000002</v>
      </c>
      <c r="E23" s="239">
        <f t="shared" si="1166"/>
        <v>0.52100000000000002</v>
      </c>
      <c r="F23" s="240">
        <v>15876.15</v>
      </c>
      <c r="G23" s="239">
        <f t="shared" si="1167"/>
        <v>1.46277855275111e-002</v>
      </c>
      <c r="H23" s="253">
        <v>0.72799999999999998</v>
      </c>
      <c r="I23" s="239">
        <f t="shared" si="1168"/>
        <v>0</v>
      </c>
      <c r="J23" s="238">
        <v>25078.02</v>
      </c>
      <c r="K23" s="239">
        <f t="shared" si="1169"/>
        <v>1.4023432388634099e-002</v>
      </c>
      <c r="L23" s="242">
        <f t="shared" si="1170"/>
        <v>6.3560487166458097</v>
      </c>
    </row>
    <row r="24" s="254" customFormat="1" ht="23.25" customHeight="1">
      <c r="A24" s="235">
        <v>19</v>
      </c>
      <c r="B24" s="243" t="s">
        <v>88</v>
      </c>
      <c r="C24" s="237" t="s">
        <v>93</v>
      </c>
      <c r="D24" s="253">
        <v>0.501</v>
      </c>
      <c r="E24" s="239">
        <f t="shared" si="1166"/>
        <v>0.501</v>
      </c>
      <c r="F24" s="240">
        <v>15268.18</v>
      </c>
      <c r="G24" s="239">
        <f t="shared" si="1167"/>
        <v>1.40676210816498e-002</v>
      </c>
      <c r="H24" s="253">
        <v>0.67700000000000005</v>
      </c>
      <c r="I24" s="239">
        <f t="shared" si="1168"/>
        <v>0</v>
      </c>
      <c r="J24" s="238">
        <v>24072.34</v>
      </c>
      <c r="K24" s="239">
        <f t="shared" si="1169"/>
        <v>1.34610640084908e-002</v>
      </c>
      <c r="L24" s="242">
        <f t="shared" si="1170"/>
        <v>6.1111474036056297</v>
      </c>
    </row>
    <row r="25" s="254" customFormat="1" ht="23.25" customHeight="1">
      <c r="A25" s="235">
        <v>20</v>
      </c>
      <c r="B25" s="243" t="s">
        <v>89</v>
      </c>
      <c r="C25" s="237" t="s">
        <v>93</v>
      </c>
      <c r="D25" s="253">
        <v>0.58399999999999996</v>
      </c>
      <c r="E25" s="239">
        <f t="shared" si="1166"/>
        <v>0.58399999999999996</v>
      </c>
      <c r="F25" s="240">
        <v>23346.75</v>
      </c>
      <c r="G25" s="239">
        <f t="shared" si="1167"/>
        <v>2.1510961521806e-002</v>
      </c>
      <c r="H25" s="253">
        <v>0.79200000000000004</v>
      </c>
      <c r="I25" s="239">
        <f t="shared" si="1168"/>
        <v>0.79200000000000004</v>
      </c>
      <c r="J25" s="238">
        <v>35439.75</v>
      </c>
      <c r="K25" s="239">
        <f t="shared" si="1169"/>
        <v>1.98176306580462e-002</v>
      </c>
      <c r="L25" s="242">
        <f t="shared" si="1170"/>
        <v>15.413143687194101</v>
      </c>
    </row>
    <row r="26" s="254" customFormat="1" ht="23.25" customHeight="1">
      <c r="A26" s="235">
        <v>21</v>
      </c>
      <c r="B26" s="243" t="s">
        <v>92</v>
      </c>
      <c r="C26" s="237" t="s">
        <v>90</v>
      </c>
      <c r="D26" s="253">
        <v>0.502</v>
      </c>
      <c r="E26" s="239">
        <f t="shared" si="1166"/>
        <v>0.502</v>
      </c>
      <c r="F26" s="240">
        <v>7579.2700000000004</v>
      </c>
      <c r="G26" s="239">
        <f t="shared" si="1167"/>
        <v>6.9833011161458802e-003</v>
      </c>
      <c r="H26" s="253">
        <v>0.84299999999999997</v>
      </c>
      <c r="I26" s="239">
        <f t="shared" si="1168"/>
        <v>0.84299999999999997</v>
      </c>
      <c r="J26" s="238">
        <v>14826.870000000001</v>
      </c>
      <c r="K26" s="239">
        <f t="shared" si="1169"/>
        <v>8.2910695892286206e-003</v>
      </c>
      <c r="L26" s="242">
        <f t="shared" si="1170"/>
        <v>14.060974828215</v>
      </c>
    </row>
    <row r="27" s="255" customFormat="1" ht="23.25" customHeight="1">
      <c r="A27" s="235">
        <v>22</v>
      </c>
      <c r="B27" s="243" t="s">
        <v>95</v>
      </c>
      <c r="C27" s="237" t="s">
        <v>93</v>
      </c>
      <c r="D27" s="253">
        <v>0.50800000000000001</v>
      </c>
      <c r="E27" s="239">
        <f t="shared" si="1166"/>
        <v>0.50800000000000001</v>
      </c>
      <c r="F27" s="240">
        <v>69432.990000000005</v>
      </c>
      <c r="G27" s="239">
        <f t="shared" si="1167"/>
        <v>6.3973374291237201e-002</v>
      </c>
      <c r="H27" s="253">
        <v>0.81000000000000005</v>
      </c>
      <c r="I27" s="239">
        <f t="shared" si="1168"/>
        <v>0.81000000000000005</v>
      </c>
      <c r="J27" s="238">
        <v>118939.21000000001</v>
      </c>
      <c r="K27" s="239">
        <f t="shared" si="1169"/>
        <v>6.6509874774505803e-002</v>
      </c>
      <c r="L27" s="242">
        <f t="shared" si="1170"/>
        <v>18.3993299626297</v>
      </c>
    </row>
    <row r="28" s="254" customFormat="1" ht="23.25" customHeight="1">
      <c r="A28" s="235">
        <v>23</v>
      </c>
      <c r="B28" s="243" t="s">
        <v>96</v>
      </c>
      <c r="C28" s="237" t="s">
        <v>93</v>
      </c>
      <c r="D28" s="253">
        <v>0.56100000000000005</v>
      </c>
      <c r="E28" s="239">
        <f t="shared" si="1166"/>
        <v>0.56100000000000005</v>
      </c>
      <c r="F28" s="240">
        <v>30728.779999999999</v>
      </c>
      <c r="G28" s="239">
        <f t="shared" si="1167"/>
        <v>2.8312531902386501e-002</v>
      </c>
      <c r="H28" s="253">
        <v>0.71999999999999997</v>
      </c>
      <c r="I28" s="239">
        <f t="shared" si="1168"/>
        <v>0</v>
      </c>
      <c r="J28" s="238">
        <v>43622.300000000003</v>
      </c>
      <c r="K28" s="239">
        <f t="shared" si="1169"/>
        <v>2.43932485374329e-002</v>
      </c>
      <c r="L28" s="242">
        <f t="shared" si="1170"/>
        <v>7.7182312175927796</v>
      </c>
    </row>
    <row r="29" s="254" customFormat="1" ht="23.25" customHeight="1">
      <c r="A29" s="235">
        <v>24</v>
      </c>
      <c r="B29" s="243" t="s">
        <v>97</v>
      </c>
      <c r="C29" s="237" t="s">
        <v>90</v>
      </c>
      <c r="D29" s="253">
        <v>0.504</v>
      </c>
      <c r="E29" s="239">
        <f t="shared" si="1166"/>
        <v>0.504</v>
      </c>
      <c r="F29" s="240">
        <v>8364.4599999999991</v>
      </c>
      <c r="G29" s="239">
        <f t="shared" si="1167"/>
        <v>7.7067504989210799e-003</v>
      </c>
      <c r="H29" s="253">
        <v>0.64900000000000002</v>
      </c>
      <c r="I29" s="239">
        <f t="shared" si="1168"/>
        <v>0</v>
      </c>
      <c r="J29" s="238">
        <v>12840.42</v>
      </c>
      <c r="K29" s="239">
        <f t="shared" si="1169"/>
        <v>7.1802623058624601e-003</v>
      </c>
      <c r="L29" s="242">
        <f t="shared" si="1170"/>
        <v>5.6354805121913403</v>
      </c>
    </row>
    <row r="30" s="251" customFormat="1" ht="23.25" customHeight="1">
      <c r="A30" s="235">
        <v>25</v>
      </c>
      <c r="B30" s="243" t="s">
        <v>98</v>
      </c>
      <c r="C30" s="237" t="s">
        <v>78</v>
      </c>
      <c r="D30" s="253">
        <v>0.56999999999999995</v>
      </c>
      <c r="E30" s="239">
        <f t="shared" si="1166"/>
        <v>0.56999999999999995</v>
      </c>
      <c r="F30" s="240">
        <v>1418.5699999999999</v>
      </c>
      <c r="G30" s="239">
        <f t="shared" si="1167"/>
        <v>1.307025803848e-003</v>
      </c>
      <c r="H30" s="253">
        <v>0.60799999999999998</v>
      </c>
      <c r="I30" s="239">
        <f t="shared" si="1168"/>
        <v>0</v>
      </c>
      <c r="J30" s="238">
        <v>2617.25</v>
      </c>
      <c r="K30" s="239">
        <f t="shared" si="1169"/>
        <v>1.4635457033351301e-003</v>
      </c>
      <c r="L30" s="242">
        <f t="shared" si="1170"/>
        <v>5.8108228602873204</v>
      </c>
    </row>
    <row r="31" s="251" customFormat="1" ht="23.25" customHeight="1">
      <c r="A31" s="228"/>
      <c r="B31" s="229" t="s">
        <v>99</v>
      </c>
      <c r="C31" s="230"/>
      <c r="D31" s="252">
        <v>0.54500000000000004</v>
      </c>
      <c r="E31" s="232"/>
      <c r="F31" s="231">
        <v>102800.67999999999</v>
      </c>
      <c r="G31" s="232"/>
      <c r="H31" s="252">
        <v>0.81299999999999994</v>
      </c>
      <c r="I31" s="232">
        <v>0.122198759087848</v>
      </c>
      <c r="J31" s="231">
        <v>169023.22</v>
      </c>
      <c r="K31" s="232"/>
      <c r="L31" s="234"/>
    </row>
    <row r="32" s="251" customFormat="1" ht="23.25" customHeight="1">
      <c r="A32" s="235">
        <v>26</v>
      </c>
      <c r="B32" s="243" t="s">
        <v>101</v>
      </c>
      <c r="C32" s="237" t="s">
        <v>78</v>
      </c>
      <c r="D32" s="253">
        <v>0.59899999999999998</v>
      </c>
      <c r="E32" s="239">
        <f t="shared" si="1166"/>
        <v>0.59899999999999998</v>
      </c>
      <c r="F32" s="240">
        <v>1868.3499999999999</v>
      </c>
      <c r="G32" s="239">
        <f t="shared" si="1167"/>
        <v>1.7214389565685299e-003</v>
      </c>
      <c r="H32" s="253">
        <v>0.80700000000000005</v>
      </c>
      <c r="I32" s="239">
        <f t="shared" si="1168"/>
        <v>0.80700000000000005</v>
      </c>
      <c r="J32" s="238">
        <v>3386.4499999999998</v>
      </c>
      <c r="K32" s="239">
        <f t="shared" si="1169"/>
        <v>1.89367631944188e-003</v>
      </c>
      <c r="L32" s="242">
        <f t="shared" si="1170"/>
        <v>14.2046046110404</v>
      </c>
    </row>
    <row r="33" s="254" customFormat="1" ht="23.25" customHeight="1">
      <c r="A33" s="235">
        <v>27</v>
      </c>
      <c r="B33" s="243" t="s">
        <v>102</v>
      </c>
      <c r="C33" s="237" t="s">
        <v>78</v>
      </c>
      <c r="D33" s="253">
        <v>0.46300000000000002</v>
      </c>
      <c r="E33" s="239">
        <f t="shared" si="1166"/>
        <v>0</v>
      </c>
      <c r="F33" s="240">
        <v>1332.3</v>
      </c>
      <c r="G33" s="239">
        <f t="shared" si="1167"/>
        <v>1.2275393378308401e-003</v>
      </c>
      <c r="H33" s="253">
        <v>0.80400000000000005</v>
      </c>
      <c r="I33" s="239">
        <f t="shared" si="1168"/>
        <v>0.80400000000000005</v>
      </c>
      <c r="J33" s="238">
        <v>2747.7600000000002</v>
      </c>
      <c r="K33" s="239">
        <f t="shared" si="1169"/>
        <v>1.5365258732624499e-003</v>
      </c>
      <c r="L33" s="242">
        <f t="shared" si="1170"/>
        <v>8.1505626084437299</v>
      </c>
    </row>
    <row r="34" s="254" customFormat="1" ht="23.25" customHeight="1">
      <c r="A34" s="235">
        <v>28</v>
      </c>
      <c r="B34" s="243" t="s">
        <v>103</v>
      </c>
      <c r="C34" s="237" t="s">
        <v>78</v>
      </c>
      <c r="D34" s="253">
        <v>0.56399999999999995</v>
      </c>
      <c r="E34" s="239">
        <f t="shared" si="1166"/>
        <v>0.56399999999999995</v>
      </c>
      <c r="F34" s="240">
        <v>2833.3200000000002</v>
      </c>
      <c r="G34" s="239">
        <f t="shared" si="1167"/>
        <v>2.61053197978149e-003</v>
      </c>
      <c r="H34" s="253">
        <v>0.76900000000000002</v>
      </c>
      <c r="I34" s="239">
        <f t="shared" si="1168"/>
        <v>0.76900000000000002</v>
      </c>
      <c r="J34" s="238">
        <v>4491.9799999999996</v>
      </c>
      <c r="K34" s="239">
        <f t="shared" si="1169"/>
        <v>2.51188003762245e-003</v>
      </c>
      <c r="L34" s="242">
        <f t="shared" si="1170"/>
        <v>13.534896480696201</v>
      </c>
    </row>
    <row r="35" s="254" customFormat="1" ht="23.25" customHeight="1">
      <c r="A35" s="235">
        <v>29</v>
      </c>
      <c r="B35" s="243" t="s">
        <v>104</v>
      </c>
      <c r="C35" s="237" t="s">
        <v>90</v>
      </c>
      <c r="D35" s="253">
        <v>0.55800000000000005</v>
      </c>
      <c r="E35" s="239">
        <f t="shared" si="1166"/>
        <v>0.55800000000000005</v>
      </c>
      <c r="F35" s="240">
        <v>4897.2600000000002</v>
      </c>
      <c r="G35" s="239">
        <f t="shared" si="1167"/>
        <v>4.5121814137847804e-003</v>
      </c>
      <c r="H35" s="253">
        <v>0.71299999999999997</v>
      </c>
      <c r="I35" s="239">
        <f t="shared" si="1168"/>
        <v>0</v>
      </c>
      <c r="J35" s="238">
        <v>6936.9099999999999</v>
      </c>
      <c r="K35" s="239">
        <f t="shared" si="1169"/>
        <v>3.8790657464600302e-003</v>
      </c>
      <c r="L35" s="242">
        <f t="shared" si="1170"/>
        <v>5.9156498864097902</v>
      </c>
    </row>
    <row r="36" s="255" customFormat="1" ht="23.25" customHeight="1">
      <c r="A36" s="235">
        <v>30</v>
      </c>
      <c r="B36" s="243" t="s">
        <v>105</v>
      </c>
      <c r="C36" s="237" t="s">
        <v>90</v>
      </c>
      <c r="D36" s="253">
        <v>0.46999999999999997</v>
      </c>
      <c r="E36" s="239">
        <f t="shared" si="1166"/>
        <v>0</v>
      </c>
      <c r="F36" s="240">
        <v>2297.9499999999998</v>
      </c>
      <c r="G36" s="239">
        <f t="shared" si="1167"/>
        <v>2.1172588916673301e-003</v>
      </c>
      <c r="H36" s="253">
        <v>0.67000000000000004</v>
      </c>
      <c r="I36" s="239">
        <f t="shared" si="1168"/>
        <v>0</v>
      </c>
      <c r="J36" s="238">
        <v>3806.9899999999998</v>
      </c>
      <c r="K36" s="239">
        <f t="shared" si="1169"/>
        <v>2.1288389940356599e-003</v>
      </c>
      <c r="L36" s="242">
        <f t="shared" si="1170"/>
        <v>0.169843915428119</v>
      </c>
    </row>
    <row r="37" s="254" customFormat="1" ht="23.25" customHeight="1">
      <c r="A37" s="235">
        <v>31</v>
      </c>
      <c r="B37" s="243" t="s">
        <v>106</v>
      </c>
      <c r="C37" s="237" t="s">
        <v>90</v>
      </c>
      <c r="D37" s="253">
        <v>0.60899999999999999</v>
      </c>
      <c r="E37" s="239">
        <f t="shared" si="1166"/>
        <v>0.60899999999999999</v>
      </c>
      <c r="F37" s="240">
        <v>8606.8400000000001</v>
      </c>
      <c r="G37" s="239">
        <f t="shared" si="1167"/>
        <v>7.9300718114658792e-003</v>
      </c>
      <c r="H37" s="253">
        <v>0.86399999999999999</v>
      </c>
      <c r="I37" s="239">
        <f t="shared" si="1168"/>
        <v>0.86399999999999999</v>
      </c>
      <c r="J37" s="238">
        <v>13433.040000000001</v>
      </c>
      <c r="K37" s="239">
        <f t="shared" si="1169"/>
        <v>7.5116507688333103e-003</v>
      </c>
      <c r="L37" s="242">
        <f t="shared" si="1170"/>
        <v>15.347668903212</v>
      </c>
    </row>
    <row r="38" s="251" customFormat="1" ht="23.25" customHeight="1">
      <c r="A38" s="235">
        <v>32</v>
      </c>
      <c r="B38" s="243" t="s">
        <v>107</v>
      </c>
      <c r="C38" s="237" t="s">
        <v>93</v>
      </c>
      <c r="D38" s="253">
        <v>0.57399999999999995</v>
      </c>
      <c r="E38" s="239">
        <f t="shared" si="1166"/>
        <v>0.57399999999999995</v>
      </c>
      <c r="F38" s="240">
        <v>60136.459999999999</v>
      </c>
      <c r="G38" s="239">
        <f t="shared" si="1167"/>
        <v>5.54078437948591e-002</v>
      </c>
      <c r="H38" s="253">
        <v>0.84199999999999997</v>
      </c>
      <c r="I38" s="239">
        <f t="shared" si="1168"/>
        <v>0.84199999999999997</v>
      </c>
      <c r="J38" s="238">
        <v>95370.179999999993</v>
      </c>
      <c r="K38" s="239">
        <f t="shared" si="1169"/>
        <v>5.3330257776405897e-002</v>
      </c>
      <c r="L38" s="242">
        <f t="shared" si="1170"/>
        <v>18.509524062850598</v>
      </c>
    </row>
    <row r="39" s="251" customFormat="1" ht="23.25" customHeight="1">
      <c r="A39" s="235">
        <v>33</v>
      </c>
      <c r="B39" s="243" t="s">
        <v>108</v>
      </c>
      <c r="C39" s="237" t="s">
        <v>78</v>
      </c>
      <c r="D39" s="253">
        <v>0.59199999999999997</v>
      </c>
      <c r="E39" s="239">
        <f t="shared" si="1166"/>
        <v>0.59199999999999997</v>
      </c>
      <c r="F39" s="240">
        <v>2045.54</v>
      </c>
      <c r="G39" s="239">
        <f t="shared" si="1167"/>
        <v>1.8846962524254999e-003</v>
      </c>
      <c r="H39" s="253">
        <v>0.84799999999999998</v>
      </c>
      <c r="I39" s="239">
        <f t="shared" si="1168"/>
        <v>0.84799999999999998</v>
      </c>
      <c r="J39" s="238">
        <v>3451.3600000000001</v>
      </c>
      <c r="K39" s="239">
        <f t="shared" si="1169"/>
        <v>1.9299734831073601e-003</v>
      </c>
      <c r="L39" s="242">
        <f t="shared" si="1170"/>
        <v>14.5525867894213</v>
      </c>
    </row>
    <row r="40" s="254" customFormat="1" ht="23.25" customHeight="1">
      <c r="A40" s="235">
        <v>34</v>
      </c>
      <c r="B40" s="243" t="s">
        <v>109</v>
      </c>
      <c r="C40" s="237" t="s">
        <v>93</v>
      </c>
      <c r="D40" s="253">
        <v>0.45200000000000001</v>
      </c>
      <c r="E40" s="239">
        <f t="shared" si="1166"/>
        <v>0</v>
      </c>
      <c r="F40" s="240">
        <v>18782.650000000001</v>
      </c>
      <c r="G40" s="239">
        <f t="shared" si="1167"/>
        <v>1.7305743258806901e-002</v>
      </c>
      <c r="H40" s="253">
        <v>0.76700000000000002</v>
      </c>
      <c r="I40" s="239">
        <f t="shared" si="1168"/>
        <v>0.76700000000000002</v>
      </c>
      <c r="J40" s="238">
        <v>35376.540000000001</v>
      </c>
      <c r="K40" s="239">
        <f t="shared" si="1169"/>
        <v>1.9782284121067299e-002</v>
      </c>
      <c r="L40" s="242">
        <f t="shared" si="1170"/>
        <v>9.1535210951949697</v>
      </c>
    </row>
    <row r="41" s="251" customFormat="1" ht="23.25" customHeight="1">
      <c r="A41" s="228"/>
      <c r="B41" s="229" t="s">
        <v>110</v>
      </c>
      <c r="C41" s="230"/>
      <c r="D41" s="252">
        <v>0.52100000000000002</v>
      </c>
      <c r="E41" s="232"/>
      <c r="F41" s="231">
        <v>13508.450000000001</v>
      </c>
      <c r="G41" s="232"/>
      <c r="H41" s="252">
        <v>0.78000000000000003</v>
      </c>
      <c r="I41" s="232">
        <v>0.1172386618555</v>
      </c>
      <c r="J41" s="231">
        <v>28437.200000000001</v>
      </c>
      <c r="K41" s="232"/>
      <c r="L41" s="234"/>
    </row>
    <row r="42" s="254" customFormat="1" ht="23.25" customHeight="1">
      <c r="A42" s="235">
        <v>35</v>
      </c>
      <c r="B42" s="243" t="s">
        <v>112</v>
      </c>
      <c r="C42" s="237" t="s">
        <v>78</v>
      </c>
      <c r="D42" s="253">
        <v>0.51800000000000002</v>
      </c>
      <c r="E42" s="239">
        <f t="shared" si="1166"/>
        <v>0.51800000000000002</v>
      </c>
      <c r="F42" s="240">
        <v>1107.4300000000001</v>
      </c>
      <c r="G42" s="239">
        <f t="shared" si="1167"/>
        <v>1.02035118884186e-003</v>
      </c>
      <c r="H42" s="253">
        <v>0.80700000000000005</v>
      </c>
      <c r="I42" s="239">
        <f t="shared" si="1168"/>
        <v>0.80700000000000005</v>
      </c>
      <c r="J42" s="238">
        <v>3137.3400000000001</v>
      </c>
      <c r="K42" s="239">
        <f t="shared" si="1169"/>
        <v>1.75437595831558e-003</v>
      </c>
      <c r="L42" s="242">
        <f t="shared" si="1170"/>
        <v>13.360989085886301</v>
      </c>
    </row>
    <row r="43" s="251" customFormat="1" ht="23.25" customHeight="1">
      <c r="A43" s="235">
        <v>36</v>
      </c>
      <c r="B43" s="243" t="s">
        <v>113</v>
      </c>
      <c r="C43" s="237" t="s">
        <v>78</v>
      </c>
      <c r="D43" s="253">
        <v>0.45700000000000002</v>
      </c>
      <c r="E43" s="239">
        <f t="shared" si="1166"/>
        <v>0</v>
      </c>
      <c r="F43" s="240">
        <v>1663.1700000000001</v>
      </c>
      <c r="G43" s="239">
        <f t="shared" si="1167"/>
        <v>1.53239255460491e-003</v>
      </c>
      <c r="H43" s="253">
        <v>0.71799999999999997</v>
      </c>
      <c r="I43" s="239">
        <f t="shared" si="1168"/>
        <v>0</v>
      </c>
      <c r="J43" s="238">
        <v>3450.8000000000002</v>
      </c>
      <c r="K43" s="239">
        <f t="shared" si="1169"/>
        <v>1.92966033549293e-003</v>
      </c>
      <c r="L43" s="242">
        <f t="shared" si="1170"/>
        <v>0.13848211560391399</v>
      </c>
    </row>
    <row r="44" s="254" customFormat="1" ht="23.25" customHeight="1">
      <c r="A44" s="235">
        <v>37</v>
      </c>
      <c r="B44" s="243" t="s">
        <v>114</v>
      </c>
      <c r="C44" s="237" t="s">
        <v>78</v>
      </c>
      <c r="D44" s="253">
        <v>0.58499999999999996</v>
      </c>
      <c r="E44" s="239">
        <f t="shared" si="1166"/>
        <v>0.58499999999999996</v>
      </c>
      <c r="F44" s="240">
        <v>1454.5899999999999</v>
      </c>
      <c r="G44" s="239">
        <f t="shared" si="1167"/>
        <v>1.3402134995236499e-003</v>
      </c>
      <c r="H44" s="253">
        <v>0.76800000000000002</v>
      </c>
      <c r="I44" s="239">
        <f t="shared" si="1168"/>
        <v>0.76800000000000002</v>
      </c>
      <c r="J44" s="238">
        <v>2676.8499999999999</v>
      </c>
      <c r="K44" s="239">
        <f t="shared" si="1169"/>
        <v>1.4968735565852099e-003</v>
      </c>
      <c r="L44" s="242">
        <f t="shared" si="1170"/>
        <v>13.643483482244401</v>
      </c>
    </row>
    <row r="45" s="255" customFormat="1" ht="23.25" customHeight="1">
      <c r="A45" s="235">
        <v>38</v>
      </c>
      <c r="B45" s="243" t="s">
        <v>115</v>
      </c>
      <c r="C45" s="237" t="s">
        <v>78</v>
      </c>
      <c r="D45" s="253">
        <v>0.56599999999999995</v>
      </c>
      <c r="E45" s="239">
        <f t="shared" si="1166"/>
        <v>0.56599999999999995</v>
      </c>
      <c r="F45" s="240">
        <v>1180</v>
      </c>
      <c r="G45" s="239">
        <f t="shared" si="1167"/>
        <v>1.0872149055320801e-003</v>
      </c>
      <c r="H45" s="253">
        <v>0.80200000000000005</v>
      </c>
      <c r="I45" s="239">
        <f t="shared" si="1168"/>
        <v>0.80200000000000005</v>
      </c>
      <c r="J45" s="238">
        <v>2454.8699999999999</v>
      </c>
      <c r="K45" s="239">
        <f t="shared" si="1169"/>
        <v>1.3727440789937199e-003</v>
      </c>
      <c r="L45" s="242">
        <f t="shared" si="1170"/>
        <v>13.778398359381001</v>
      </c>
    </row>
    <row r="46" s="251" customFormat="1" ht="23.25" customHeight="1">
      <c r="A46" s="235">
        <v>39</v>
      </c>
      <c r="B46" s="243" t="s">
        <v>116</v>
      </c>
      <c r="C46" s="237" t="s">
        <v>78</v>
      </c>
      <c r="D46" s="253">
        <v>0.55700000000000005</v>
      </c>
      <c r="E46" s="239">
        <f t="shared" si="1166"/>
        <v>0.55700000000000005</v>
      </c>
      <c r="F46" s="240">
        <v>1364.1600000000001</v>
      </c>
      <c r="G46" s="239">
        <f t="shared" si="1167"/>
        <v>1.2568941402802099e-003</v>
      </c>
      <c r="H46" s="253">
        <v>0.80100000000000005</v>
      </c>
      <c r="I46" s="239">
        <f t="shared" si="1168"/>
        <v>0.80100000000000005</v>
      </c>
      <c r="J46" s="238">
        <v>2779.79</v>
      </c>
      <c r="K46" s="239">
        <f t="shared" si="1169"/>
        <v>1.55443679842353e-003</v>
      </c>
      <c r="L46" s="242">
        <f t="shared" si="1170"/>
        <v>13.6924532375482</v>
      </c>
    </row>
    <row r="47" s="251" customFormat="1" ht="23.25" customHeight="1">
      <c r="A47" s="235">
        <v>40</v>
      </c>
      <c r="B47" s="243" t="s">
        <v>117</v>
      </c>
      <c r="C47" s="237" t="s">
        <v>78</v>
      </c>
      <c r="D47" s="253">
        <v>0.501</v>
      </c>
      <c r="E47" s="239">
        <f t="shared" si="1166"/>
        <v>0.501</v>
      </c>
      <c r="F47" s="240">
        <v>1507.25</v>
      </c>
      <c r="G47" s="239">
        <f t="shared" si="1167"/>
        <v>1.38873276810443e-003</v>
      </c>
      <c r="H47" s="253">
        <v>0.81799999999999995</v>
      </c>
      <c r="I47" s="239">
        <f t="shared" si="1168"/>
        <v>0.81799999999999995</v>
      </c>
      <c r="J47" s="238">
        <v>3334.1700000000001</v>
      </c>
      <c r="K47" s="239">
        <f t="shared" si="1169"/>
        <v>1.86444175286614e-003</v>
      </c>
      <c r="L47" s="242">
        <f t="shared" si="1170"/>
        <v>13.320126980838801</v>
      </c>
    </row>
    <row r="48" s="251" customFormat="1" ht="23.25" customHeight="1">
      <c r="A48" s="235">
        <v>41</v>
      </c>
      <c r="B48" s="243" t="s">
        <v>118</v>
      </c>
      <c r="C48" s="237" t="s">
        <v>78</v>
      </c>
      <c r="D48" s="253">
        <v>0.51300000000000001</v>
      </c>
      <c r="E48" s="239">
        <f t="shared" si="1166"/>
        <v>0.51300000000000001</v>
      </c>
      <c r="F48" s="240">
        <v>1355.25</v>
      </c>
      <c r="G48" s="239">
        <f t="shared" si="1167"/>
        <v>1.24868474637488e-003</v>
      </c>
      <c r="H48" s="253">
        <v>0.80100000000000005</v>
      </c>
      <c r="I48" s="239">
        <f t="shared" si="1168"/>
        <v>0.80100000000000005</v>
      </c>
      <c r="J48" s="238">
        <v>2953.0700000000002</v>
      </c>
      <c r="K48" s="239">
        <f t="shared" si="1169"/>
        <v>1.65133361740295e-003</v>
      </c>
      <c r="L48" s="242">
        <f t="shared" si="1170"/>
        <v>13.256000734551099</v>
      </c>
    </row>
    <row r="49" s="254" customFormat="1" ht="23.25" customHeight="1">
      <c r="A49" s="235">
        <v>42</v>
      </c>
      <c r="B49" s="243" t="s">
        <v>119</v>
      </c>
      <c r="C49" s="237" t="s">
        <v>78</v>
      </c>
      <c r="D49" s="253">
        <v>0.53900000000000003</v>
      </c>
      <c r="E49" s="239">
        <f t="shared" si="1166"/>
        <v>0.53900000000000003</v>
      </c>
      <c r="F49" s="240">
        <v>1734.8800000000001</v>
      </c>
      <c r="G49" s="239">
        <f t="shared" si="1167"/>
        <v>1.5984638943300801e-003</v>
      </c>
      <c r="H49" s="253">
        <v>0.82599999999999996</v>
      </c>
      <c r="I49" s="239">
        <f t="shared" si="1168"/>
        <v>0.82599999999999996</v>
      </c>
      <c r="J49" s="238">
        <v>3921.3099999999999</v>
      </c>
      <c r="K49" s="239">
        <f t="shared" si="1169"/>
        <v>2.1927658427529301e-003</v>
      </c>
      <c r="L49" s="242">
        <f t="shared" si="1170"/>
        <v>13.8016491894833</v>
      </c>
    </row>
    <row r="50" s="251" customFormat="1" ht="23.25" customHeight="1">
      <c r="A50" s="235">
        <v>43</v>
      </c>
      <c r="B50" s="243" t="s">
        <v>120</v>
      </c>
      <c r="C50" s="237" t="s">
        <v>78</v>
      </c>
      <c r="D50" s="253">
        <v>0.50800000000000001</v>
      </c>
      <c r="E50" s="239">
        <f t="shared" si="1166"/>
        <v>0.50800000000000001</v>
      </c>
      <c r="F50" s="240">
        <v>2135.1500000000001</v>
      </c>
      <c r="G50" s="239">
        <f t="shared" si="1167"/>
        <v>1.96726008944646e-003</v>
      </c>
      <c r="H50" s="253">
        <v>0.70799999999999996</v>
      </c>
      <c r="I50" s="239">
        <f t="shared" si="1168"/>
        <v>0</v>
      </c>
      <c r="J50" s="238">
        <v>3673.3000000000002</v>
      </c>
      <c r="K50" s="239">
        <f t="shared" si="1169"/>
        <v>2.0540805930121101e-003</v>
      </c>
      <c r="L50" s="242">
        <f t="shared" si="1170"/>
        <v>5.2408536272983399</v>
      </c>
    </row>
    <row r="51" s="251" customFormat="1" ht="23.25" customHeight="1">
      <c r="A51" s="228"/>
      <c r="B51" s="229" t="s">
        <v>121</v>
      </c>
      <c r="C51" s="230"/>
      <c r="D51" s="252">
        <v>0.53700000000000003</v>
      </c>
      <c r="E51" s="232"/>
      <c r="F51" s="231">
        <v>98340.630000000005</v>
      </c>
      <c r="G51" s="232"/>
      <c r="H51" s="252">
        <v>0.72299999999999998</v>
      </c>
      <c r="I51" s="232">
        <v>0.108671221181444</v>
      </c>
      <c r="J51" s="231">
        <v>156469.41</v>
      </c>
      <c r="K51" s="232"/>
      <c r="L51" s="234"/>
    </row>
    <row r="52" s="254" customFormat="1" ht="23.25" customHeight="1">
      <c r="A52" s="235">
        <v>44</v>
      </c>
      <c r="B52" s="243" t="s">
        <v>123</v>
      </c>
      <c r="C52" s="237" t="s">
        <v>78</v>
      </c>
      <c r="D52" s="253">
        <v>0.71099999999999997</v>
      </c>
      <c r="E52" s="239">
        <f t="shared" si="1166"/>
        <v>0.71099999999999997</v>
      </c>
      <c r="F52" s="240">
        <v>2021.9200000000001</v>
      </c>
      <c r="G52" s="239">
        <f t="shared" si="1167"/>
        <v>1.8629335269435799e-003</v>
      </c>
      <c r="H52" s="253">
        <v>0.71799999999999997</v>
      </c>
      <c r="I52" s="239">
        <f t="shared" si="1168"/>
        <v>0</v>
      </c>
      <c r="J52" s="238">
        <v>2915.5599999999999</v>
      </c>
      <c r="K52" s="239">
        <f t="shared" si="1169"/>
        <v>1.6303583191578099e-003</v>
      </c>
      <c r="L52" s="242">
        <f t="shared" si="1170"/>
        <v>7.2497316738440496</v>
      </c>
    </row>
    <row r="53" s="254" customFormat="1" ht="23.25" customHeight="1">
      <c r="A53" s="235">
        <v>45</v>
      </c>
      <c r="B53" s="243" t="s">
        <v>124</v>
      </c>
      <c r="C53" s="237" t="s">
        <v>78</v>
      </c>
      <c r="D53" s="253">
        <v>0.66100000000000003</v>
      </c>
      <c r="E53" s="239">
        <f t="shared" si="1166"/>
        <v>0.66100000000000003</v>
      </c>
      <c r="F53" s="240">
        <v>1895.0999999999999</v>
      </c>
      <c r="G53" s="239">
        <f t="shared" si="1167"/>
        <v>1.7460855656558001e-003</v>
      </c>
      <c r="H53" s="253">
        <v>0.76700000000000002</v>
      </c>
      <c r="I53" s="239">
        <f t="shared" si="1168"/>
        <v>0.76700000000000002</v>
      </c>
      <c r="J53" s="238">
        <v>2849.9099999999999</v>
      </c>
      <c r="K53" s="239">
        <f t="shared" si="1169"/>
        <v>1.5936473532875499e-003</v>
      </c>
      <c r="L53" s="242">
        <f t="shared" si="1170"/>
        <v>14.413589316757699</v>
      </c>
    </row>
    <row r="54" s="254" customFormat="1" ht="23.25" customHeight="1">
      <c r="A54" s="235">
        <v>46</v>
      </c>
      <c r="B54" s="243" t="s">
        <v>125</v>
      </c>
      <c r="C54" s="237" t="s">
        <v>78</v>
      </c>
      <c r="D54" s="253">
        <v>0.60599999999999998</v>
      </c>
      <c r="E54" s="239">
        <f t="shared" si="1166"/>
        <v>0.60599999999999998</v>
      </c>
      <c r="F54" s="240">
        <v>3191.8099999999999</v>
      </c>
      <c r="G54" s="239">
        <f t="shared" si="1167"/>
        <v>2.94083339629352e-003</v>
      </c>
      <c r="H54" s="253">
        <v>0.85899999999999999</v>
      </c>
      <c r="I54" s="239">
        <f t="shared" si="1168"/>
        <v>0.85899999999999999</v>
      </c>
      <c r="J54" s="238">
        <v>6240.1700000000001</v>
      </c>
      <c r="K54" s="239">
        <f t="shared" si="1169"/>
        <v>3.4894541948918899e-003</v>
      </c>
      <c r="L54" s="242">
        <f t="shared" si="1170"/>
        <v>14.9072115036474</v>
      </c>
    </row>
    <row r="55" s="254" customFormat="1" ht="23.25" customHeight="1">
      <c r="A55" s="235">
        <v>47</v>
      </c>
      <c r="B55" s="243" t="s">
        <v>126</v>
      </c>
      <c r="C55" s="237" t="s">
        <v>90</v>
      </c>
      <c r="D55" s="253">
        <v>0.51900000000000002</v>
      </c>
      <c r="E55" s="239">
        <f t="shared" si="1166"/>
        <v>0.51900000000000002</v>
      </c>
      <c r="F55" s="240">
        <v>12921.719999999999</v>
      </c>
      <c r="G55" s="239">
        <f t="shared" si="1167"/>
        <v>1.1905666600942401e-002</v>
      </c>
      <c r="H55" s="253">
        <v>0.80600000000000005</v>
      </c>
      <c r="I55" s="239">
        <f t="shared" si="1168"/>
        <v>0.80600000000000005</v>
      </c>
      <c r="J55" s="238">
        <v>20780.34</v>
      </c>
      <c r="K55" s="239">
        <f t="shared" si="1169"/>
        <v>1.16202033893756e-002</v>
      </c>
      <c r="L55" s="242">
        <f t="shared" si="1170"/>
        <v>14.1910347996127</v>
      </c>
    </row>
    <row r="56" s="254" customFormat="1" ht="23.25" customHeight="1">
      <c r="A56" s="235">
        <v>48</v>
      </c>
      <c r="B56" s="243" t="s">
        <v>127</v>
      </c>
      <c r="C56" s="237" t="s">
        <v>78</v>
      </c>
      <c r="D56" s="253">
        <v>0.51500000000000001</v>
      </c>
      <c r="E56" s="239">
        <f t="shared" si="1166"/>
        <v>0.51500000000000001</v>
      </c>
      <c r="F56" s="240">
        <v>2144.1799999999998</v>
      </c>
      <c r="G56" s="239">
        <f t="shared" si="1167"/>
        <v>1.9755800475794701e-003</v>
      </c>
      <c r="H56" s="253">
        <v>0.503</v>
      </c>
      <c r="I56" s="239">
        <f t="shared" si="1168"/>
        <v>0</v>
      </c>
      <c r="J56" s="238">
        <v>2727.9699999999998</v>
      </c>
      <c r="K56" s="239">
        <f t="shared" si="1169"/>
        <v>1.5254594602453499e-003</v>
      </c>
      <c r="L56" s="242">
        <f t="shared" si="1170"/>
        <v>5.2900415803129901</v>
      </c>
    </row>
    <row r="57" s="251" customFormat="1" ht="23.25" customHeight="1">
      <c r="A57" s="235">
        <v>49</v>
      </c>
      <c r="B57" s="243" t="s">
        <v>128</v>
      </c>
      <c r="C57" s="237" t="s">
        <v>90</v>
      </c>
      <c r="D57" s="253">
        <v>0.54400000000000004</v>
      </c>
      <c r="E57" s="239">
        <f t="shared" si="1166"/>
        <v>0.54400000000000004</v>
      </c>
      <c r="F57" s="240">
        <v>2380.6799999999998</v>
      </c>
      <c r="G57" s="239">
        <f t="shared" si="1167"/>
        <v>2.19348371296789e-003</v>
      </c>
      <c r="H57" s="253">
        <v>0.69899999999999995</v>
      </c>
      <c r="I57" s="239">
        <f t="shared" si="1168"/>
        <v>0</v>
      </c>
      <c r="J57" s="238">
        <v>3415.4200000000001</v>
      </c>
      <c r="K57" s="239">
        <f t="shared" si="1169"/>
        <v>1.9098761165669601e-003</v>
      </c>
      <c r="L57" s="242">
        <f t="shared" si="1170"/>
        <v>5.6041343931813898</v>
      </c>
    </row>
    <row r="58" s="255" customFormat="1" ht="23.25" customHeight="1">
      <c r="A58" s="235">
        <v>50</v>
      </c>
      <c r="B58" s="243" t="s">
        <v>129</v>
      </c>
      <c r="C58" s="237" t="s">
        <v>78</v>
      </c>
      <c r="D58" s="253">
        <v>0.63100000000000001</v>
      </c>
      <c r="E58" s="239">
        <f t="shared" si="1166"/>
        <v>0.63100000000000001</v>
      </c>
      <c r="F58" s="240">
        <v>2568.8899999999999</v>
      </c>
      <c r="G58" s="239">
        <f t="shared" si="1167"/>
        <v>2.3668944904002599e-003</v>
      </c>
      <c r="H58" s="253">
        <v>0.90600000000000003</v>
      </c>
      <c r="I58" s="239">
        <f t="shared" si="1168"/>
        <v>0.90600000000000003</v>
      </c>
      <c r="J58" s="238">
        <v>4735.5600000000004</v>
      </c>
      <c r="K58" s="239">
        <f t="shared" si="1169"/>
        <v>2.6480880660562501e-003</v>
      </c>
      <c r="L58" s="242">
        <f t="shared" si="1170"/>
        <v>15.5705993022583</v>
      </c>
    </row>
    <row r="59" s="251" customFormat="1" ht="23.25" customHeight="1">
      <c r="A59" s="235">
        <v>51</v>
      </c>
      <c r="B59" s="243" t="s">
        <v>130</v>
      </c>
      <c r="C59" s="237" t="s">
        <v>90</v>
      </c>
      <c r="D59" s="253">
        <v>0.51300000000000001</v>
      </c>
      <c r="E59" s="239">
        <f t="shared" si="1166"/>
        <v>0.51300000000000001</v>
      </c>
      <c r="F59" s="240">
        <v>3138.0999999999999</v>
      </c>
      <c r="G59" s="239">
        <f t="shared" si="1167"/>
        <v>2.8913466907205302e-003</v>
      </c>
      <c r="H59" s="253">
        <v>0.49399999999999999</v>
      </c>
      <c r="I59" s="239">
        <f t="shared" si="1168"/>
        <v>0</v>
      </c>
      <c r="J59" s="238">
        <v>3504.0599999999999</v>
      </c>
      <c r="K59" s="239">
        <f t="shared" si="1169"/>
        <v>1.95944291039393e-003</v>
      </c>
      <c r="L59" s="242">
        <f t="shared" si="1170"/>
        <v>5.3240315840445804</v>
      </c>
    </row>
    <row r="60" s="254" customFormat="1" ht="23.25" customHeight="1">
      <c r="A60" s="235">
        <v>52</v>
      </c>
      <c r="B60" s="243" t="s">
        <v>131</v>
      </c>
      <c r="C60" s="237" t="s">
        <v>93</v>
      </c>
      <c r="D60" s="253">
        <v>0.53800000000000003</v>
      </c>
      <c r="E60" s="239">
        <f t="shared" si="1166"/>
        <v>0.53800000000000003</v>
      </c>
      <c r="F60" s="240">
        <v>18417.169999999998</v>
      </c>
      <c r="G60" s="239">
        <f t="shared" si="1167"/>
        <v>1.6969001476032398e-002</v>
      </c>
      <c r="H60" s="253">
        <v>0.77800000000000002</v>
      </c>
      <c r="I60" s="239">
        <f t="shared" si="1168"/>
        <v>0.77800000000000002</v>
      </c>
      <c r="J60" s="238">
        <v>29663.25</v>
      </c>
      <c r="K60" s="239">
        <f t="shared" si="1169"/>
        <v>1.65874570959809e-002</v>
      </c>
      <c r="L60" s="242">
        <f t="shared" si="1170"/>
        <v>14.5022583428805</v>
      </c>
    </row>
    <row r="61" s="251" customFormat="1" ht="23.25" customHeight="1">
      <c r="A61" s="235">
        <v>53</v>
      </c>
      <c r="B61" s="243" t="s">
        <v>132</v>
      </c>
      <c r="C61" s="237" t="s">
        <v>93</v>
      </c>
      <c r="D61" s="253">
        <v>0.52500000000000002</v>
      </c>
      <c r="E61" s="239">
        <f t="shared" si="1166"/>
        <v>0.52500000000000002</v>
      </c>
      <c r="F61" s="240">
        <v>15074.780000000001</v>
      </c>
      <c r="G61" s="239">
        <f t="shared" si="1167"/>
        <v>1.38894284013703e-002</v>
      </c>
      <c r="H61" s="253">
        <v>0.73199999999999998</v>
      </c>
      <c r="I61" s="239">
        <f t="shared" si="1168"/>
        <v>0</v>
      </c>
      <c r="J61" s="238">
        <v>23513.32</v>
      </c>
      <c r="K61" s="239">
        <f t="shared" si="1169"/>
        <v>1.31484644023857e-002</v>
      </c>
      <c r="L61" s="242">
        <f t="shared" si="1170"/>
        <v>6.3315157121502397</v>
      </c>
    </row>
    <row r="62" s="254" customFormat="1" ht="23.25" customHeight="1">
      <c r="A62" s="235">
        <v>54</v>
      </c>
      <c r="B62" s="243" t="s">
        <v>133</v>
      </c>
      <c r="C62" s="237" t="s">
        <v>93</v>
      </c>
      <c r="D62" s="253">
        <v>0.53200000000000003</v>
      </c>
      <c r="E62" s="239">
        <f t="shared" si="1166"/>
        <v>0.53200000000000003</v>
      </c>
      <c r="F62" s="240">
        <v>14717.219999999999</v>
      </c>
      <c r="G62" s="239">
        <f t="shared" si="1167"/>
        <v>1.35599838576228e-002</v>
      </c>
      <c r="H62" s="253">
        <v>0.64700000000000002</v>
      </c>
      <c r="I62" s="239">
        <f t="shared" si="1168"/>
        <v>0</v>
      </c>
      <c r="J62" s="238">
        <v>20153.939999999999</v>
      </c>
      <c r="K62" s="239">
        <f t="shared" si="1169"/>
        <v>1.1269925414948499e-002</v>
      </c>
      <c r="L62" s="242">
        <f t="shared" si="1170"/>
        <v>6.3131963709028502</v>
      </c>
    </row>
    <row r="63" s="254" customFormat="1" ht="23.25" customHeight="1">
      <c r="A63" s="235">
        <v>55</v>
      </c>
      <c r="B63" s="243" t="s">
        <v>134</v>
      </c>
      <c r="C63" s="237" t="s">
        <v>93</v>
      </c>
      <c r="D63" s="253">
        <v>0.501</v>
      </c>
      <c r="E63" s="239">
        <f t="shared" si="1166"/>
        <v>0.501</v>
      </c>
      <c r="F63" s="240">
        <v>13403.209999999999</v>
      </c>
      <c r="G63" s="239">
        <f t="shared" si="1167"/>
        <v>1.2349296350827699e-002</v>
      </c>
      <c r="H63" s="253">
        <v>0.69999999999999996</v>
      </c>
      <c r="I63" s="239">
        <f t="shared" si="1168"/>
        <v>0</v>
      </c>
      <c r="J63" s="238">
        <v>20944.32</v>
      </c>
      <c r="K63" s="239">
        <f t="shared" si="1169"/>
        <v>1.1711899721186801e-002</v>
      </c>
      <c r="L63" s="242">
        <f t="shared" si="1170"/>
        <v>5.9724478428805803</v>
      </c>
    </row>
    <row r="64" s="254" customFormat="1" ht="23.25" customHeight="1">
      <c r="A64" s="235">
        <v>56</v>
      </c>
      <c r="B64" s="243" t="s">
        <v>135</v>
      </c>
      <c r="C64" s="237" t="s">
        <v>78</v>
      </c>
      <c r="D64" s="253">
        <v>0.56799999999999995</v>
      </c>
      <c r="E64" s="239">
        <f t="shared" si="1166"/>
        <v>0.56799999999999995</v>
      </c>
      <c r="F64" s="240">
        <v>6350.4399999999996</v>
      </c>
      <c r="G64" s="239">
        <f t="shared" si="1167"/>
        <v>5.8510957836331798e-003</v>
      </c>
      <c r="H64" s="253">
        <v>0.69399999999999995</v>
      </c>
      <c r="I64" s="239">
        <f t="shared" si="1168"/>
        <v>0</v>
      </c>
      <c r="J64" s="238">
        <v>14892.24</v>
      </c>
      <c r="K64" s="239">
        <f t="shared" si="1169"/>
        <v>8.3276239812916705e-003</v>
      </c>
      <c r="L64" s="242">
        <f t="shared" si="1170"/>
        <v>6.2471487905969898</v>
      </c>
    </row>
    <row r="65" s="251" customFormat="1" ht="23.25" customHeight="1">
      <c r="A65" s="228"/>
      <c r="B65" s="229" t="s">
        <v>136</v>
      </c>
      <c r="C65" s="230"/>
      <c r="D65" s="252">
        <v>0.49299999999999999</v>
      </c>
      <c r="E65" s="232"/>
      <c r="F65" s="231">
        <v>75176.460000000006</v>
      </c>
      <c r="G65" s="232"/>
      <c r="H65" s="252">
        <v>0.67700000000000005</v>
      </c>
      <c r="I65" s="232">
        <v>0.101757146251505</v>
      </c>
      <c r="J65" s="231">
        <v>121524.47</v>
      </c>
      <c r="K65" s="232"/>
      <c r="L65" s="234"/>
    </row>
    <row r="66" s="255" customFormat="1" ht="23.25" customHeight="1">
      <c r="A66" s="235">
        <v>57</v>
      </c>
      <c r="B66" s="243" t="s">
        <v>138</v>
      </c>
      <c r="C66" s="237" t="s">
        <v>90</v>
      </c>
      <c r="D66" s="253">
        <v>0.27200000000000002</v>
      </c>
      <c r="E66" s="239">
        <f t="shared" si="1166"/>
        <v>0</v>
      </c>
      <c r="F66" s="240">
        <v>2111.1900000000001</v>
      </c>
      <c r="G66" s="239">
        <f t="shared" si="1167"/>
        <v>1.94518409865277e-003</v>
      </c>
      <c r="H66" s="253">
        <v>0.33000000000000002</v>
      </c>
      <c r="I66" s="239">
        <f t="shared" si="1168"/>
        <v>0</v>
      </c>
      <c r="J66" s="238">
        <v>5106.2700000000004</v>
      </c>
      <c r="K66" s="239">
        <f t="shared" si="1169"/>
        <v>2.8553861948874201e-003</v>
      </c>
      <c r="L66" s="242">
        <f t="shared" si="1170"/>
        <v>0.19202281174160801</v>
      </c>
    </row>
    <row r="67" s="254" customFormat="1" ht="23.25" customHeight="1">
      <c r="A67" s="235">
        <v>58</v>
      </c>
      <c r="B67" s="243" t="s">
        <v>139</v>
      </c>
      <c r="C67" s="237" t="s">
        <v>90</v>
      </c>
      <c r="D67" s="253">
        <v>0.42199999999999999</v>
      </c>
      <c r="E67" s="239">
        <f t="shared" si="1166"/>
        <v>0</v>
      </c>
      <c r="F67" s="240">
        <v>2883.3899999999999</v>
      </c>
      <c r="G67" s="239">
        <f t="shared" si="1167"/>
        <v>2.6566649037814802e-003</v>
      </c>
      <c r="H67" s="253">
        <v>0.66700000000000004</v>
      </c>
      <c r="I67" s="239">
        <f t="shared" si="1168"/>
        <v>0</v>
      </c>
      <c r="J67" s="238">
        <v>5293.5200000000004</v>
      </c>
      <c r="K67" s="239">
        <f t="shared" si="1169"/>
        <v>2.9600949284625498e-003</v>
      </c>
      <c r="L67" s="242">
        <f t="shared" si="1170"/>
        <v>0.22467039328976099</v>
      </c>
    </row>
    <row r="68" s="251" customFormat="1" ht="23.25" customHeight="1">
      <c r="A68" s="235">
        <v>59</v>
      </c>
      <c r="B68" s="243" t="s">
        <v>140</v>
      </c>
      <c r="C68" s="237" t="s">
        <v>90</v>
      </c>
      <c r="D68" s="253">
        <v>0.503</v>
      </c>
      <c r="E68" s="239">
        <f t="shared" si="1166"/>
        <v>0.503</v>
      </c>
      <c r="F68" s="240">
        <v>4986.7399999999998</v>
      </c>
      <c r="G68" s="239">
        <f t="shared" si="1167"/>
        <v>4.5946254728924203e-003</v>
      </c>
      <c r="H68" s="253">
        <v>0.81499999999999995</v>
      </c>
      <c r="I68" s="239">
        <f t="shared" si="1168"/>
        <v>0.81499999999999995</v>
      </c>
      <c r="J68" s="238">
        <v>8619.4799999999996</v>
      </c>
      <c r="K68" s="239">
        <f t="shared" si="1169"/>
        <v>4.8199457136242699e-003</v>
      </c>
      <c r="L68" s="242">
        <f t="shared" si="1170"/>
        <v>13.5565828474607</v>
      </c>
    </row>
    <row r="69" s="251" customFormat="1" ht="23.25" customHeight="1">
      <c r="A69" s="235">
        <v>60</v>
      </c>
      <c r="B69" s="243" t="s">
        <v>141</v>
      </c>
      <c r="C69" s="237" t="s">
        <v>90</v>
      </c>
      <c r="D69" s="253">
        <v>0.51900000000000002</v>
      </c>
      <c r="E69" s="239">
        <f t="shared" si="1166"/>
        <v>0.51900000000000002</v>
      </c>
      <c r="F69" s="240">
        <v>13019.91</v>
      </c>
      <c r="G69" s="239">
        <f t="shared" si="1167"/>
        <v>1.1996135780242501e-002</v>
      </c>
      <c r="H69" s="253">
        <v>0.55400000000000005</v>
      </c>
      <c r="I69" s="239">
        <f t="shared" si="1168"/>
        <v>0</v>
      </c>
      <c r="J69" s="238">
        <v>17706.869999999999</v>
      </c>
      <c r="K69" s="239">
        <f t="shared" si="1169"/>
        <v>9.9015430348701004e-003</v>
      </c>
      <c r="L69" s="242">
        <f t="shared" si="1170"/>
        <v>6.0659071526045096</v>
      </c>
    </row>
    <row r="70" s="251" customFormat="1" ht="23.25" customHeight="1">
      <c r="A70" s="235">
        <v>61</v>
      </c>
      <c r="B70" s="243" t="s">
        <v>142</v>
      </c>
      <c r="C70" s="237" t="s">
        <v>93</v>
      </c>
      <c r="D70" s="253">
        <v>0.624</v>
      </c>
      <c r="E70" s="239">
        <f t="shared" si="1166"/>
        <v>0.624</v>
      </c>
      <c r="F70" s="240">
        <v>13613.85</v>
      </c>
      <c r="G70" s="239">
        <f t="shared" si="1167"/>
        <v>1.25433734251508e-002</v>
      </c>
      <c r="H70" s="253">
        <v>0.57499999999999996</v>
      </c>
      <c r="I70" s="239">
        <f t="shared" si="1168"/>
        <v>0</v>
      </c>
      <c r="J70" s="238">
        <v>14733.629999999999</v>
      </c>
      <c r="K70" s="239">
        <f t="shared" si="1169"/>
        <v>8.2389305114259695e-003</v>
      </c>
      <c r="L70" s="242">
        <f t="shared" si="1170"/>
        <v>7.0712921574630698</v>
      </c>
    </row>
    <row r="71" s="254" customFormat="1" ht="23.25" customHeight="1">
      <c r="A71" s="235">
        <v>62</v>
      </c>
      <c r="B71" s="243" t="s">
        <v>143</v>
      </c>
      <c r="C71" s="237" t="s">
        <v>90</v>
      </c>
      <c r="D71" s="253">
        <v>0.52500000000000002</v>
      </c>
      <c r="E71" s="239">
        <f t="shared" si="1166"/>
        <v>0.52500000000000002</v>
      </c>
      <c r="F71" s="240">
        <v>8358.5900000000001</v>
      </c>
      <c r="G71" s="239">
        <f t="shared" si="1167"/>
        <v>7.7013420654503404e-003</v>
      </c>
      <c r="H71" s="253">
        <v>0.77000000000000002</v>
      </c>
      <c r="I71" s="239">
        <f t="shared" si="1168"/>
        <v>0.77000000000000002</v>
      </c>
      <c r="J71" s="238">
        <v>13318.58</v>
      </c>
      <c r="K71" s="239">
        <f t="shared" si="1169"/>
        <v>7.4476456332124401e-003</v>
      </c>
      <c r="L71" s="242">
        <f t="shared" si="1170"/>
        <v>13.555959507946501</v>
      </c>
    </row>
    <row r="72" s="254" customFormat="1" ht="23.25" customHeight="1">
      <c r="A72" s="235">
        <v>63</v>
      </c>
      <c r="B72" s="243" t="s">
        <v>144</v>
      </c>
      <c r="C72" s="237" t="s">
        <v>93</v>
      </c>
      <c r="D72" s="253">
        <v>0.51100000000000001</v>
      </c>
      <c r="E72" s="239">
        <f t="shared" si="1166"/>
        <v>0.51100000000000001</v>
      </c>
      <c r="F72" s="240">
        <v>25271.580000000002</v>
      </c>
      <c r="G72" s="239">
        <f t="shared" si="1167"/>
        <v>2.32844393748699e-002</v>
      </c>
      <c r="H72" s="253">
        <v>0.80600000000000005</v>
      </c>
      <c r="I72" s="239">
        <f t="shared" si="1168"/>
        <v>0.80600000000000005</v>
      </c>
      <c r="J72" s="238">
        <v>43308.459999999999</v>
      </c>
      <c r="K72" s="239">
        <f t="shared" si="1169"/>
        <v>2.4217751667231401e-002</v>
      </c>
      <c r="L72" s="242">
        <f t="shared" si="1170"/>
        <v>15.070087641684101</v>
      </c>
    </row>
    <row r="73" s="251" customFormat="1" ht="23.25" customHeight="1">
      <c r="A73" s="235">
        <v>64</v>
      </c>
      <c r="B73" s="243" t="s">
        <v>145</v>
      </c>
      <c r="C73" s="237" t="s">
        <v>90</v>
      </c>
      <c r="D73" s="253">
        <v>0.312</v>
      </c>
      <c r="E73" s="239">
        <f t="shared" si="1166"/>
        <v>0</v>
      </c>
      <c r="F73" s="240">
        <v>4911.2299999999996</v>
      </c>
      <c r="G73" s="239">
        <f t="shared" si="1167"/>
        <v>4.5250529326239996e-003</v>
      </c>
      <c r="H73" s="253">
        <v>0.79500000000000004</v>
      </c>
      <c r="I73" s="239">
        <f t="shared" si="1168"/>
        <v>0.79500000000000004</v>
      </c>
      <c r="J73" s="238">
        <v>13413.67</v>
      </c>
      <c r="K73" s="239">
        <f t="shared" si="1169"/>
        <v>7.5008192165270399e-003</v>
      </c>
      <c r="L73" s="242">
        <f t="shared" si="1170"/>
        <v>8.4310348859660404</v>
      </c>
    </row>
    <row r="74" s="254" customFormat="1" ht="23.25" customHeight="1">
      <c r="A74" s="228"/>
      <c r="B74" s="229" t="s">
        <v>147</v>
      </c>
      <c r="C74" s="230"/>
      <c r="D74" s="252">
        <v>0.52300000000000002</v>
      </c>
      <c r="E74" s="232"/>
      <c r="F74" s="231">
        <v>86036.960000000006</v>
      </c>
      <c r="G74" s="232"/>
      <c r="H74" s="252">
        <v>0.80400000000000005</v>
      </c>
      <c r="I74" s="232">
        <v>0.120846005297208</v>
      </c>
      <c r="J74" s="231">
        <v>140987.13</v>
      </c>
      <c r="K74" s="232"/>
      <c r="L74" s="234"/>
    </row>
    <row r="75" s="254" customFormat="1" ht="23.25" customHeight="1">
      <c r="A75" s="235">
        <v>65</v>
      </c>
      <c r="B75" s="243" t="s">
        <v>149</v>
      </c>
      <c r="C75" s="237" t="s">
        <v>78</v>
      </c>
      <c r="D75" s="253">
        <v>0.51900000000000002</v>
      </c>
      <c r="E75" s="239">
        <f t="shared" si="1166"/>
        <v>0.51900000000000002</v>
      </c>
      <c r="F75" s="240">
        <v>5630.2200000000003</v>
      </c>
      <c r="G75" s="239">
        <f t="shared" si="1167"/>
        <v>5.1875077164617199e-003</v>
      </c>
      <c r="H75" s="253">
        <v>0.81299999999999994</v>
      </c>
      <c r="I75" s="239">
        <f t="shared" si="1168"/>
        <v>0.81299999999999994</v>
      </c>
      <c r="J75" s="238">
        <v>9472.1100000000006</v>
      </c>
      <c r="K75" s="239">
        <f t="shared" si="1169"/>
        <v>5.2967297323594396e-003</v>
      </c>
      <c r="L75" s="242">
        <f t="shared" si="1170"/>
        <v>13.739369497952801</v>
      </c>
    </row>
    <row r="76" s="255" customFormat="1" ht="23.25" customHeight="1">
      <c r="A76" s="235">
        <v>66</v>
      </c>
      <c r="B76" s="243" t="s">
        <v>150</v>
      </c>
      <c r="C76" s="237" t="s">
        <v>90</v>
      </c>
      <c r="D76" s="253">
        <v>0.61399999999999999</v>
      </c>
      <c r="E76" s="239">
        <f t="shared" si="1166"/>
        <v>0.61399999999999999</v>
      </c>
      <c r="F76" s="240">
        <v>4537.7700000000004</v>
      </c>
      <c r="G76" s="239">
        <f t="shared" si="1167"/>
        <v>4.1809586287087398e-003</v>
      </c>
      <c r="H76" s="253">
        <v>0.81899999999999995</v>
      </c>
      <c r="I76" s="239">
        <f t="shared" si="1168"/>
        <v>0.81899999999999995</v>
      </c>
      <c r="J76" s="238">
        <v>6413.8100000000004</v>
      </c>
      <c r="K76" s="239">
        <f t="shared" si="1169"/>
        <v>3.5865523230520298e-003</v>
      </c>
      <c r="L76" s="242">
        <f t="shared" si="1170"/>
        <v>14.6407004380704</v>
      </c>
    </row>
    <row r="77" s="251" customFormat="1" ht="23.25" customHeight="1">
      <c r="A77" s="235">
        <v>67</v>
      </c>
      <c r="B77" s="243" t="s">
        <v>151</v>
      </c>
      <c r="C77" s="237" t="s">
        <v>90</v>
      </c>
      <c r="D77" s="253">
        <v>0.51000000000000001</v>
      </c>
      <c r="E77" s="239">
        <f t="shared" si="1166"/>
        <v>0.51000000000000001</v>
      </c>
      <c r="F77" s="240">
        <v>10396.860000000001</v>
      </c>
      <c r="G77" s="239">
        <f t="shared" si="1167"/>
        <v>9.5793399684154894e-003</v>
      </c>
      <c r="H77" s="253">
        <v>0.81100000000000005</v>
      </c>
      <c r="I77" s="239">
        <f t="shared" si="1168"/>
        <v>0.81100000000000005</v>
      </c>
      <c r="J77" s="238">
        <v>17621.849999999999</v>
      </c>
      <c r="K77" s="239">
        <f t="shared" si="1169"/>
        <v>9.8540005166935594e-003</v>
      </c>
      <c r="L77" s="242">
        <f t="shared" si="1170"/>
        <v>13.987333619404399</v>
      </c>
    </row>
    <row r="78" s="254" customFormat="1" ht="23.25" customHeight="1">
      <c r="A78" s="235">
        <v>68</v>
      </c>
      <c r="B78" s="243" t="s">
        <v>152</v>
      </c>
      <c r="C78" s="237" t="s">
        <v>90</v>
      </c>
      <c r="D78" s="253">
        <v>0.504</v>
      </c>
      <c r="E78" s="239">
        <f t="shared" si="1166"/>
        <v>0.504</v>
      </c>
      <c r="F78" s="240">
        <v>6874.6400000000003</v>
      </c>
      <c r="G78" s="239">
        <f t="shared" si="1167"/>
        <v>6.3340771848873403e-003</v>
      </c>
      <c r="H78" s="253">
        <v>0.81000000000000005</v>
      </c>
      <c r="I78" s="239">
        <f t="shared" si="1168"/>
        <v>0.81000000000000005</v>
      </c>
      <c r="J78" s="238">
        <v>11821.48</v>
      </c>
      <c r="K78" s="239">
        <f t="shared" si="1169"/>
        <v>6.6104790375631703e-003</v>
      </c>
      <c r="L78" s="242">
        <f t="shared" si="1170"/>
        <v>13.657782248898</v>
      </c>
    </row>
    <row r="79" s="254" customFormat="1" ht="23.25" customHeight="1">
      <c r="A79" s="235">
        <v>69</v>
      </c>
      <c r="B79" s="243" t="s">
        <v>153</v>
      </c>
      <c r="C79" s="237" t="s">
        <v>90</v>
      </c>
      <c r="D79" s="253">
        <v>0.53900000000000003</v>
      </c>
      <c r="E79" s="239">
        <f t="shared" si="1166"/>
        <v>0.53900000000000003</v>
      </c>
      <c r="F79" s="240">
        <v>4739.3800000000001</v>
      </c>
      <c r="G79" s="239">
        <f t="shared" si="1167"/>
        <v>4.3667157448988398e-003</v>
      </c>
      <c r="H79" s="253">
        <v>0.74199999999999999</v>
      </c>
      <c r="I79" s="239">
        <f t="shared" si="1168"/>
        <v>0</v>
      </c>
      <c r="J79" s="238">
        <v>7194.8900000000003</v>
      </c>
      <c r="K79" s="239">
        <f t="shared" si="1169"/>
        <v>4.0233261421220396e-003</v>
      </c>
      <c r="L79" s="242">
        <f t="shared" si="1170"/>
        <v>5.7256016754808403</v>
      </c>
    </row>
    <row r="80" s="255" customFormat="1" ht="23.25" customHeight="1">
      <c r="A80" s="235">
        <v>70</v>
      </c>
      <c r="B80" s="243" t="s">
        <v>154</v>
      </c>
      <c r="C80" s="237" t="s">
        <v>90</v>
      </c>
      <c r="D80" s="253">
        <v>0.50700000000000001</v>
      </c>
      <c r="E80" s="239">
        <f t="shared" si="1166"/>
        <v>0.50700000000000001</v>
      </c>
      <c r="F80" s="240">
        <v>3249.71</v>
      </c>
      <c r="G80" s="239">
        <f t="shared" si="1167"/>
        <v>2.9941806361497101e-003</v>
      </c>
      <c r="H80" s="253">
        <v>0.80700000000000005</v>
      </c>
      <c r="I80" s="239">
        <f t="shared" si="1168"/>
        <v>0.80700000000000005</v>
      </c>
      <c r="J80" s="238">
        <v>5753.0500000000002</v>
      </c>
      <c r="K80" s="239">
        <f t="shared" si="1169"/>
        <v>3.2170605057110298e-003</v>
      </c>
      <c r="L80" s="242">
        <f t="shared" si="1170"/>
        <v>13.388449645674401</v>
      </c>
    </row>
    <row r="81" s="251" customFormat="1" ht="23.25" customHeight="1">
      <c r="A81" s="235">
        <v>71</v>
      </c>
      <c r="B81" s="243" t="s">
        <v>155</v>
      </c>
      <c r="C81" s="237" t="s">
        <v>93</v>
      </c>
      <c r="D81" s="253">
        <v>0.56299999999999994</v>
      </c>
      <c r="E81" s="239">
        <f t="shared" si="1166"/>
        <v>0.56299999999999994</v>
      </c>
      <c r="F81" s="240">
        <v>10945.84</v>
      </c>
      <c r="G81" s="239">
        <f t="shared" si="1167"/>
        <v>1.0085152882685799e-002</v>
      </c>
      <c r="H81" s="253">
        <v>0.80800000000000005</v>
      </c>
      <c r="I81" s="239">
        <f t="shared" si="1168"/>
        <v>0.80800000000000005</v>
      </c>
      <c r="J81" s="238">
        <v>16122.73</v>
      </c>
      <c r="K81" s="239">
        <f t="shared" si="1169"/>
        <v>9.0157043528636804e-003</v>
      </c>
      <c r="L81" s="242">
        <f t="shared" si="1170"/>
        <v>14.474034289422001</v>
      </c>
    </row>
    <row r="82" s="251" customFormat="1" ht="23.25" customHeight="1">
      <c r="A82" s="235">
        <v>72</v>
      </c>
      <c r="B82" s="243" t="s">
        <v>156</v>
      </c>
      <c r="C82" s="237" t="s">
        <v>90</v>
      </c>
      <c r="D82" s="253">
        <v>0.51600000000000001</v>
      </c>
      <c r="E82" s="239">
        <f t="shared" si="1166"/>
        <v>0.51600000000000001</v>
      </c>
      <c r="F82" s="240">
        <v>8746.1700000000001</v>
      </c>
      <c r="G82" s="239">
        <f t="shared" si="1167"/>
        <v>8.0584460934894197e-003</v>
      </c>
      <c r="H82" s="253">
        <v>0.81699999999999995</v>
      </c>
      <c r="I82" s="239">
        <f t="shared" si="1168"/>
        <v>0.81699999999999995</v>
      </c>
      <c r="J82" s="238">
        <v>14225.719999999999</v>
      </c>
      <c r="K82" s="239">
        <f t="shared" si="1169"/>
        <v>7.9549112170593898e-003</v>
      </c>
      <c r="L82" s="242">
        <f t="shared" si="1170"/>
        <v>13.970534292422</v>
      </c>
    </row>
    <row r="83" s="254" customFormat="1" ht="23.25" customHeight="1">
      <c r="A83" s="235">
        <v>73</v>
      </c>
      <c r="B83" s="243" t="s">
        <v>157</v>
      </c>
      <c r="C83" s="237" t="s">
        <v>93</v>
      </c>
      <c r="D83" s="253">
        <v>0.502</v>
      </c>
      <c r="E83" s="239">
        <f t="shared" si="1166"/>
        <v>0.502</v>
      </c>
      <c r="F83" s="240">
        <v>21650.130000000001</v>
      </c>
      <c r="G83" s="239">
        <f t="shared" si="1167"/>
        <v>1.9947749188735001e-002</v>
      </c>
      <c r="H83" s="253">
        <v>0.80300000000000005</v>
      </c>
      <c r="I83" s="239">
        <f t="shared" si="1168"/>
        <v>0.80300000000000005</v>
      </c>
      <c r="J83" s="238">
        <v>37868.440000000002</v>
      </c>
      <c r="K83" s="239">
        <f t="shared" si="1169"/>
        <v>2.1175735086065298e-002</v>
      </c>
      <c r="L83" s="242">
        <f t="shared" si="1170"/>
        <v>14.694939370992</v>
      </c>
    </row>
    <row r="84" s="254" customFormat="1" ht="23.25" customHeight="1">
      <c r="A84" s="235">
        <v>74</v>
      </c>
      <c r="B84" s="243" t="s">
        <v>158</v>
      </c>
      <c r="C84" s="237" t="s">
        <v>90</v>
      </c>
      <c r="D84" s="253">
        <v>0.53000000000000003</v>
      </c>
      <c r="E84" s="239">
        <f t="shared" ref="E84:E99" si="1171">IF(D84&gt;=50%,1*D84,0)</f>
        <v>0.53000000000000003</v>
      </c>
      <c r="F84" s="240">
        <v>9251.2299999999996</v>
      </c>
      <c r="G84" s="239">
        <f t="shared" ref="G84:G99" si="1172">F84/$F$149</f>
        <v>8.5237925004284405e-003</v>
      </c>
      <c r="H84" s="253">
        <v>0.80100000000000005</v>
      </c>
      <c r="I84" s="239">
        <f t="shared" ref="I84:I99" si="1173">IF(H84&gt;=75%,1*H84,0)</f>
        <v>0.80100000000000005</v>
      </c>
      <c r="J84" s="238">
        <v>14468.040000000001</v>
      </c>
      <c r="K84" s="239">
        <f t="shared" ref="K84:K99" si="1174">J84/$J$149</f>
        <v>8.0904146633607194e-003</v>
      </c>
      <c r="L84" s="242">
        <f t="shared" ref="L84:L99" si="1175">(E84*0.1+G84*0.4+I84*0.1+K84*0.4)*100</f>
        <v>13.9745682865516</v>
      </c>
    </row>
    <row r="85" s="254" customFormat="1" ht="28" customHeight="1">
      <c r="A85" s="228"/>
      <c r="B85" s="229" t="s">
        <v>159</v>
      </c>
      <c r="C85" s="230"/>
      <c r="D85" s="252">
        <v>0.54100000000000004</v>
      </c>
      <c r="E85" s="232"/>
      <c r="F85" s="231">
        <v>21523.57</v>
      </c>
      <c r="G85" s="232"/>
      <c r="H85" s="252">
        <v>0.71399999999999997</v>
      </c>
      <c r="I85" s="232">
        <v>0.107318467390804</v>
      </c>
      <c r="J85" s="231">
        <v>46717.760000000002</v>
      </c>
      <c r="K85" s="232"/>
      <c r="L85" s="234"/>
    </row>
    <row r="86" s="254" customFormat="1" ht="23.25" customHeight="1">
      <c r="A86" s="235">
        <v>75</v>
      </c>
      <c r="B86" s="243" t="s">
        <v>161</v>
      </c>
      <c r="C86" s="237" t="s">
        <v>78</v>
      </c>
      <c r="D86" s="253">
        <v>0.48399999999999999</v>
      </c>
      <c r="E86" s="239">
        <f t="shared" si="1171"/>
        <v>0</v>
      </c>
      <c r="F86" s="240">
        <v>4053.8699999999999</v>
      </c>
      <c r="G86" s="239">
        <f t="shared" si="1172"/>
        <v>3.7351083805841801e-003</v>
      </c>
      <c r="H86" s="253">
        <v>0.79500000000000004</v>
      </c>
      <c r="I86" s="239">
        <f t="shared" si="1173"/>
        <v>0.79500000000000004</v>
      </c>
      <c r="J86" s="238">
        <v>7135.6400000000003</v>
      </c>
      <c r="K86" s="239">
        <f t="shared" si="1174"/>
        <v>3.9901940061309801e-003</v>
      </c>
      <c r="L86" s="242">
        <f t="shared" si="1175"/>
        <v>8.2590120954686093</v>
      </c>
    </row>
    <row r="87" s="254" customFormat="1" ht="23.25" customHeight="1">
      <c r="A87" s="235">
        <v>76</v>
      </c>
      <c r="B87" s="243" t="s">
        <v>162</v>
      </c>
      <c r="C87" s="237" t="s">
        <v>90</v>
      </c>
      <c r="D87" s="253">
        <v>0.65600000000000003</v>
      </c>
      <c r="E87" s="239">
        <f t="shared" si="1171"/>
        <v>0.65600000000000003</v>
      </c>
      <c r="F87" s="240">
        <v>7035.0600000000004</v>
      </c>
      <c r="G87" s="239">
        <f t="shared" si="1172"/>
        <v>6.4818831299258703e-003</v>
      </c>
      <c r="H87" s="253">
        <v>0.81299999999999994</v>
      </c>
      <c r="I87" s="239">
        <f t="shared" si="1173"/>
        <v>0.81299999999999994</v>
      </c>
      <c r="J87" s="238">
        <v>9221.6100000000006</v>
      </c>
      <c r="K87" s="239">
        <f t="shared" si="1174"/>
        <v>5.1566520941187504e-003</v>
      </c>
      <c r="L87" s="242">
        <f t="shared" si="1175"/>
        <v>15.155541408961801</v>
      </c>
    </row>
    <row r="88" s="251" customFormat="1" ht="23.25" customHeight="1">
      <c r="A88" s="235">
        <v>77</v>
      </c>
      <c r="B88" s="243" t="s">
        <v>163</v>
      </c>
      <c r="C88" s="237" t="s">
        <v>90</v>
      </c>
      <c r="D88" s="253">
        <v>0.504</v>
      </c>
      <c r="E88" s="239">
        <f t="shared" si="1171"/>
        <v>0.504</v>
      </c>
      <c r="F88" s="240">
        <v>10410.24</v>
      </c>
      <c r="G88" s="239">
        <f t="shared" si="1172"/>
        <v>9.5916678798019395e-003</v>
      </c>
      <c r="H88" s="253">
        <v>0.67300000000000004</v>
      </c>
      <c r="I88" s="239">
        <f t="shared" si="1173"/>
        <v>0</v>
      </c>
      <c r="J88" s="238">
        <v>30300.810000000001</v>
      </c>
      <c r="K88" s="239">
        <f t="shared" si="1174"/>
        <v>1.6943975655009699e-002</v>
      </c>
      <c r="L88" s="242">
        <f t="shared" si="1175"/>
        <v>6.10142574139247</v>
      </c>
    </row>
    <row r="89" s="251" customFormat="1" ht="23.25" customHeight="1">
      <c r="A89" s="228"/>
      <c r="B89" s="229" t="s">
        <v>164</v>
      </c>
      <c r="C89" s="230"/>
      <c r="D89" s="252">
        <v>0.57099999999999995</v>
      </c>
      <c r="E89" s="232"/>
      <c r="F89" s="231">
        <v>39841.989999999998</v>
      </c>
      <c r="G89" s="232"/>
      <c r="H89" s="252">
        <v>0.82299999999999995</v>
      </c>
      <c r="I89" s="232">
        <v>0.12370181885522601</v>
      </c>
      <c r="J89" s="231">
        <v>67931.279999999999</v>
      </c>
      <c r="K89" s="232"/>
      <c r="L89" s="234"/>
    </row>
    <row r="90" s="254" customFormat="1" ht="23.25" customHeight="1">
      <c r="A90" s="235">
        <v>78</v>
      </c>
      <c r="B90" s="243" t="s">
        <v>166</v>
      </c>
      <c r="C90" s="237" t="s">
        <v>78</v>
      </c>
      <c r="D90" s="253">
        <v>0.57599999999999996</v>
      </c>
      <c r="E90" s="239">
        <f t="shared" si="1171"/>
        <v>0.57599999999999996</v>
      </c>
      <c r="F90" s="240">
        <v>2284.5</v>
      </c>
      <c r="G90" s="239">
        <f t="shared" si="1172"/>
        <v>2.1048664844813898e-003</v>
      </c>
      <c r="H90" s="253">
        <v>0.80800000000000005</v>
      </c>
      <c r="I90" s="239">
        <f t="shared" si="1173"/>
        <v>0.80800000000000005</v>
      </c>
      <c r="J90" s="238">
        <v>4786.1800000000003</v>
      </c>
      <c r="K90" s="239">
        <f t="shared" si="1174"/>
        <v>2.67639437363208e-003</v>
      </c>
      <c r="L90" s="242">
        <f t="shared" si="1175"/>
        <v>14.0312504343245</v>
      </c>
    </row>
    <row r="91" s="254" customFormat="1" ht="23.25" customHeight="1">
      <c r="A91" s="235">
        <v>79</v>
      </c>
      <c r="B91" s="243" t="s">
        <v>167</v>
      </c>
      <c r="C91" s="237" t="s">
        <v>90</v>
      </c>
      <c r="D91" s="253">
        <v>0.40899999999999997</v>
      </c>
      <c r="E91" s="239">
        <f t="shared" si="1171"/>
        <v>0</v>
      </c>
      <c r="F91" s="240">
        <v>2632.6100000000001</v>
      </c>
      <c r="G91" s="239">
        <f t="shared" si="1172"/>
        <v>2.4256040952989901e-003</v>
      </c>
      <c r="H91" s="253">
        <v>0.94799999999999995</v>
      </c>
      <c r="I91" s="239">
        <f t="shared" si="1173"/>
        <v>0.94799999999999995</v>
      </c>
      <c r="J91" s="238">
        <v>6853.9200000000001</v>
      </c>
      <c r="K91" s="239">
        <f t="shared" si="1174"/>
        <v>3.8326583883858002e-003</v>
      </c>
      <c r="L91" s="242">
        <f t="shared" si="1175"/>
        <v>9.7303304993473905</v>
      </c>
    </row>
    <row r="92" s="254" customFormat="1" ht="23.25" customHeight="1">
      <c r="A92" s="235">
        <v>80</v>
      </c>
      <c r="B92" s="243" t="s">
        <v>168</v>
      </c>
      <c r="C92" s="237" t="s">
        <v>90</v>
      </c>
      <c r="D92" s="253">
        <v>0.67000000000000004</v>
      </c>
      <c r="E92" s="239">
        <f t="shared" si="1171"/>
        <v>0.67000000000000004</v>
      </c>
      <c r="F92" s="240">
        <v>3207.5999999999999</v>
      </c>
      <c r="G92" s="239">
        <f t="shared" si="1172"/>
        <v>2.9553818059192402e-003</v>
      </c>
      <c r="H92" s="253">
        <v>0.80500000000000005</v>
      </c>
      <c r="I92" s="239">
        <f t="shared" si="1173"/>
        <v>0.80500000000000005</v>
      </c>
      <c r="J92" s="238">
        <v>4407.8000000000002</v>
      </c>
      <c r="K92" s="239">
        <f t="shared" si="1174"/>
        <v>2.4648072408675501e-003</v>
      </c>
      <c r="L92" s="242">
        <f t="shared" si="1175"/>
        <v>14.9668075618715</v>
      </c>
    </row>
    <row r="93" s="254" customFormat="1" ht="23.25" customHeight="1">
      <c r="A93" s="235">
        <v>81</v>
      </c>
      <c r="B93" s="243" t="s">
        <v>169</v>
      </c>
      <c r="C93" s="237" t="s">
        <v>90</v>
      </c>
      <c r="D93" s="253">
        <v>0.71299999999999997</v>
      </c>
      <c r="E93" s="239">
        <f t="shared" si="1171"/>
        <v>0.71299999999999997</v>
      </c>
      <c r="F93" s="240">
        <v>3574.2800000000002</v>
      </c>
      <c r="G93" s="239">
        <f t="shared" si="1172"/>
        <v>3.29322923097051e-003</v>
      </c>
      <c r="H93" s="253">
        <v>0.81200000000000006</v>
      </c>
      <c r="I93" s="239">
        <f t="shared" si="1173"/>
        <v>0.81200000000000006</v>
      </c>
      <c r="J93" s="238">
        <v>4695.6099999999997</v>
      </c>
      <c r="K93" s="239">
        <f t="shared" si="1174"/>
        <v>2.6257483389196599e-003</v>
      </c>
      <c r="L93" s="242">
        <f t="shared" si="1175"/>
        <v>15.486759102795601</v>
      </c>
    </row>
    <row r="94" s="254" customFormat="1" ht="23.25" customHeight="1">
      <c r="A94" s="235">
        <v>82</v>
      </c>
      <c r="B94" s="243" t="s">
        <v>170</v>
      </c>
      <c r="C94" s="237" t="s">
        <v>90</v>
      </c>
      <c r="D94" s="253">
        <v>0.63900000000000001</v>
      </c>
      <c r="E94" s="239">
        <f t="shared" si="1171"/>
        <v>0.63900000000000001</v>
      </c>
      <c r="F94" s="240">
        <v>2356.52</v>
      </c>
      <c r="G94" s="239">
        <f t="shared" si="1172"/>
        <v>2.1712234484614098e-003</v>
      </c>
      <c r="H94" s="253">
        <v>0.83099999999999996</v>
      </c>
      <c r="I94" s="239">
        <f t="shared" si="1173"/>
        <v>0.83099999999999996</v>
      </c>
      <c r="J94" s="238">
        <v>3659.3099999999999</v>
      </c>
      <c r="K94" s="239">
        <f t="shared" si="1174"/>
        <v>2.0462574945730402e-003</v>
      </c>
      <c r="L94" s="242">
        <f t="shared" si="1175"/>
        <v>14.868699237721399</v>
      </c>
    </row>
    <row r="95" s="254" customFormat="1" ht="23.25" customHeight="1">
      <c r="A95" s="235">
        <v>83</v>
      </c>
      <c r="B95" s="243" t="s">
        <v>171</v>
      </c>
      <c r="C95" s="237" t="s">
        <v>90</v>
      </c>
      <c r="D95" s="253">
        <v>0.52200000000000002</v>
      </c>
      <c r="E95" s="239">
        <f t="shared" si="1171"/>
        <v>0.52200000000000002</v>
      </c>
      <c r="F95" s="240">
        <v>3605.9099999999999</v>
      </c>
      <c r="G95" s="239">
        <f t="shared" si="1172"/>
        <v>3.3223721186501601e-003</v>
      </c>
      <c r="H95" s="253">
        <v>0.81200000000000006</v>
      </c>
      <c r="I95" s="239">
        <f t="shared" si="1173"/>
        <v>0.81200000000000006</v>
      </c>
      <c r="J95" s="238">
        <v>7079.9899999999998</v>
      </c>
      <c r="K95" s="239">
        <f t="shared" si="1174"/>
        <v>3.9590749619469699e-003</v>
      </c>
      <c r="L95" s="242">
        <f t="shared" si="1175"/>
        <v>13.631257883223901</v>
      </c>
    </row>
    <row r="96" s="251" customFormat="1" ht="23.25" customHeight="1">
      <c r="A96" s="235">
        <v>84</v>
      </c>
      <c r="B96" s="243" t="s">
        <v>172</v>
      </c>
      <c r="C96" s="237" t="s">
        <v>90</v>
      </c>
      <c r="D96" s="253">
        <v>0.66400000000000003</v>
      </c>
      <c r="E96" s="239">
        <f t="shared" si="1171"/>
        <v>0.66400000000000003</v>
      </c>
      <c r="F96" s="240">
        <v>4089.0500000000002</v>
      </c>
      <c r="G96" s="239">
        <f t="shared" si="1172"/>
        <v>3.7675221266660602e-003</v>
      </c>
      <c r="H96" s="253">
        <v>0.78600000000000003</v>
      </c>
      <c r="I96" s="239">
        <f t="shared" si="1173"/>
        <v>0.78600000000000003</v>
      </c>
      <c r="J96" s="238">
        <v>5295.54</v>
      </c>
      <c r="K96" s="239">
        <f t="shared" si="1174"/>
        <v>2.9612244966431699e-003</v>
      </c>
      <c r="L96" s="242">
        <f t="shared" si="1175"/>
        <v>14.7691498649324</v>
      </c>
    </row>
    <row r="97" s="254" customFormat="1" ht="23.25" customHeight="1">
      <c r="A97" s="235">
        <v>85</v>
      </c>
      <c r="B97" s="243" t="s">
        <v>173</v>
      </c>
      <c r="C97" s="237" t="s">
        <v>78</v>
      </c>
      <c r="D97" s="253">
        <v>0.66200000000000003</v>
      </c>
      <c r="E97" s="239">
        <f t="shared" si="1171"/>
        <v>0.66200000000000003</v>
      </c>
      <c r="F97" s="240">
        <v>2720.1700000000001</v>
      </c>
      <c r="G97" s="239">
        <f t="shared" si="1172"/>
        <v>2.5062791267637299e-003</v>
      </c>
      <c r="H97" s="253">
        <v>0.82999999999999996</v>
      </c>
      <c r="I97" s="239">
        <f t="shared" si="1173"/>
        <v>0.82999999999999996</v>
      </c>
      <c r="J97" s="238">
        <v>4476.4300000000003</v>
      </c>
      <c r="K97" s="239">
        <f t="shared" si="1174"/>
        <v>2.5031845994003201e-003</v>
      </c>
      <c r="L97" s="242">
        <f t="shared" si="1175"/>
        <v>15.120378549046601</v>
      </c>
    </row>
    <row r="98" s="251" customFormat="1" ht="23.25" customHeight="1">
      <c r="A98" s="235">
        <v>86</v>
      </c>
      <c r="B98" s="243" t="s">
        <v>174</v>
      </c>
      <c r="C98" s="237" t="s">
        <v>93</v>
      </c>
      <c r="D98" s="253">
        <v>0.52200000000000002</v>
      </c>
      <c r="E98" s="239">
        <f t="shared" si="1171"/>
        <v>0.52200000000000002</v>
      </c>
      <c r="F98" s="240">
        <v>12762.24</v>
      </c>
      <c r="G98" s="239">
        <f t="shared" si="1172"/>
        <v>1.1758726742354e-002</v>
      </c>
      <c r="H98" s="253">
        <v>0.81399999999999995</v>
      </c>
      <c r="I98" s="239">
        <f t="shared" si="1173"/>
        <v>0.81399999999999995</v>
      </c>
      <c r="J98" s="238">
        <v>22608.950000000001</v>
      </c>
      <c r="K98" s="239">
        <f t="shared" si="1174"/>
        <v>1.2642747780845899e-002</v>
      </c>
      <c r="L98" s="242">
        <f t="shared" si="1175"/>
        <v>14.336058980928</v>
      </c>
    </row>
    <row r="99" s="254" customFormat="1" ht="23.25" customHeight="1">
      <c r="A99" s="235">
        <v>87</v>
      </c>
      <c r="B99" s="243" t="s">
        <v>175</v>
      </c>
      <c r="C99" s="237" t="s">
        <v>78</v>
      </c>
      <c r="D99" s="253">
        <v>0.623</v>
      </c>
      <c r="E99" s="239">
        <f t="shared" si="1171"/>
        <v>0.623</v>
      </c>
      <c r="F99" s="240">
        <v>2609.0999999999999</v>
      </c>
      <c r="G99" s="239">
        <f t="shared" si="1172"/>
        <v>2.4039427203591101e-003</v>
      </c>
      <c r="H99" s="253">
        <v>0.80700000000000005</v>
      </c>
      <c r="I99" s="239">
        <f t="shared" si="1173"/>
        <v>0.80700000000000005</v>
      </c>
      <c r="J99" s="238">
        <v>4047.21</v>
      </c>
      <c r="K99" s="239">
        <f t="shared" si="1174"/>
        <v>2.26316813678288e-003</v>
      </c>
      <c r="L99" s="242">
        <f t="shared" si="1175"/>
        <v>14.486684434285699</v>
      </c>
    </row>
    <row r="100" s="251" customFormat="1" ht="23.25" customHeight="1">
      <c r="A100" s="228"/>
      <c r="B100" s="229" t="s">
        <v>176</v>
      </c>
      <c r="C100" s="230"/>
      <c r="D100" s="252">
        <v>0.53400000000000003</v>
      </c>
      <c r="E100" s="232"/>
      <c r="F100" s="231">
        <v>53471.43</v>
      </c>
      <c r="G100" s="232"/>
      <c r="H100" s="252">
        <v>0.78200000000000003</v>
      </c>
      <c r="I100" s="232">
        <v>0.117539273808976</v>
      </c>
      <c r="J100" s="231">
        <v>86729.949999999997</v>
      </c>
      <c r="K100" s="232"/>
      <c r="L100" s="234"/>
    </row>
    <row r="101" s="255" customFormat="1" ht="23.25" customHeight="1">
      <c r="A101" s="235">
        <v>88</v>
      </c>
      <c r="B101" s="243" t="s">
        <v>178</v>
      </c>
      <c r="C101" s="237" t="s">
        <v>78</v>
      </c>
      <c r="D101" s="253">
        <v>0.56299999999999994</v>
      </c>
      <c r="E101" s="239">
        <f t="shared" ref="E101:E148" si="1176">IF(D101&gt;=50%,1*D101,0)</f>
        <v>0.56299999999999994</v>
      </c>
      <c r="F101" s="240">
        <v>2544.2399999999998</v>
      </c>
      <c r="G101" s="239">
        <f t="shared" ref="G101:G148" si="1177">F101/$F$149</f>
        <v>2.3441827552974099e-003</v>
      </c>
      <c r="H101" s="253">
        <v>0.56200000000000006</v>
      </c>
      <c r="I101" s="239">
        <f t="shared" ref="I101:I148" si="1178">IF(H101&gt;=75%,1*H101,0)</f>
        <v>0</v>
      </c>
      <c r="J101" s="238">
        <v>3609.4699999999998</v>
      </c>
      <c r="K101" s="239">
        <f t="shared" ref="K101:K148" si="1179">J101/$J$149</f>
        <v>2.0183873568887399e-003</v>
      </c>
      <c r="L101" s="242">
        <f t="shared" ref="L101:L148" si="1180">(E101*0.1+G101*0.4+I101*0.1+K101*0.4)*100</f>
        <v>5.8045028044874503</v>
      </c>
    </row>
    <row r="102" s="251" customFormat="1" ht="23.25" customHeight="1">
      <c r="A102" s="235">
        <v>89</v>
      </c>
      <c r="B102" s="243" t="s">
        <v>179</v>
      </c>
      <c r="C102" s="237" t="s">
        <v>90</v>
      </c>
      <c r="D102" s="253">
        <v>0.59799999999999998</v>
      </c>
      <c r="E102" s="239">
        <f t="shared" si="1176"/>
        <v>0.59799999999999998</v>
      </c>
      <c r="F102" s="240">
        <v>8086.8599999999997</v>
      </c>
      <c r="G102" s="239">
        <f t="shared" si="1177"/>
        <v>7.4509785855518297e-003</v>
      </c>
      <c r="H102" s="253">
        <v>0.81200000000000006</v>
      </c>
      <c r="I102" s="239">
        <f t="shared" si="1178"/>
        <v>0.81200000000000006</v>
      </c>
      <c r="J102" s="238">
        <v>11222.540000000001</v>
      </c>
      <c r="K102" s="239">
        <f t="shared" si="1179"/>
        <v>6.2755564800866101e-003</v>
      </c>
      <c r="L102" s="242">
        <f t="shared" si="1180"/>
        <v>14.649061402625501</v>
      </c>
    </row>
    <row r="103" s="254" customFormat="1" ht="23.25" customHeight="1">
      <c r="A103" s="235">
        <v>90</v>
      </c>
      <c r="B103" s="243" t="s">
        <v>180</v>
      </c>
      <c r="C103" s="237" t="s">
        <v>90</v>
      </c>
      <c r="D103" s="253">
        <v>0.61299999999999999</v>
      </c>
      <c r="E103" s="239">
        <f t="shared" si="1176"/>
        <v>0.61299999999999999</v>
      </c>
      <c r="F103" s="240">
        <v>2539.9099999999999</v>
      </c>
      <c r="G103" s="239">
        <f t="shared" si="1177"/>
        <v>2.3401932294152398e-003</v>
      </c>
      <c r="H103" s="253">
        <v>0.80200000000000005</v>
      </c>
      <c r="I103" s="239">
        <f t="shared" si="1178"/>
        <v>0.80200000000000005</v>
      </c>
      <c r="J103" s="238">
        <v>3880.8499999999999</v>
      </c>
      <c r="K103" s="239">
        <f t="shared" si="1179"/>
        <v>2.1701409276103402e-003</v>
      </c>
      <c r="L103" s="242">
        <f t="shared" si="1180"/>
        <v>14.330413366281</v>
      </c>
    </row>
    <row r="104" s="254" customFormat="1" ht="23.25" customHeight="1">
      <c r="A104" s="235">
        <v>91</v>
      </c>
      <c r="B104" s="243" t="s">
        <v>181</v>
      </c>
      <c r="C104" s="237" t="s">
        <v>90</v>
      </c>
      <c r="D104" s="253">
        <v>0.56100000000000005</v>
      </c>
      <c r="E104" s="239">
        <f t="shared" si="1176"/>
        <v>0.56100000000000005</v>
      </c>
      <c r="F104" s="240">
        <v>2393.8200000000002</v>
      </c>
      <c r="G104" s="239">
        <f t="shared" si="1177"/>
        <v>2.2055904958989902e-003</v>
      </c>
      <c r="H104" s="253">
        <v>0.80700000000000005</v>
      </c>
      <c r="I104" s="239">
        <f t="shared" si="1178"/>
        <v>0.80700000000000005</v>
      </c>
      <c r="J104" s="238">
        <v>4040.0500000000002</v>
      </c>
      <c r="K104" s="239">
        <f t="shared" si="1179"/>
        <v>2.2591643208555198e-003</v>
      </c>
      <c r="L104" s="242">
        <f t="shared" si="1180"/>
        <v>13.858590192670199</v>
      </c>
    </row>
    <row r="105" s="254" customFormat="1" ht="23.25" customHeight="1">
      <c r="A105" s="235">
        <v>92</v>
      </c>
      <c r="B105" s="243" t="s">
        <v>182</v>
      </c>
      <c r="C105" s="237" t="s">
        <v>90</v>
      </c>
      <c r="D105" s="253">
        <v>0.38</v>
      </c>
      <c r="E105" s="239">
        <f t="shared" si="1176"/>
        <v>0</v>
      </c>
      <c r="F105" s="240">
        <v>5385.2700000000004</v>
      </c>
      <c r="G105" s="239">
        <f t="shared" si="1177"/>
        <v>4.9618184867074198e-003</v>
      </c>
      <c r="H105" s="253">
        <v>0.82199999999999995</v>
      </c>
      <c r="I105" s="239">
        <f t="shared" si="1178"/>
        <v>0.82199999999999995</v>
      </c>
      <c r="J105" s="238">
        <v>12245.280000000001</v>
      </c>
      <c r="K105" s="239">
        <f t="shared" si="1179"/>
        <v>6.8474646786266698e-003</v>
      </c>
      <c r="L105" s="242">
        <f t="shared" si="1180"/>
        <v>8.69237132661336</v>
      </c>
    </row>
    <row r="106" s="254" customFormat="1" ht="23.25" customHeight="1">
      <c r="A106" s="235">
        <v>93</v>
      </c>
      <c r="B106" s="243" t="s">
        <v>183</v>
      </c>
      <c r="C106" s="237" t="s">
        <v>90</v>
      </c>
      <c r="D106" s="253">
        <v>0.501</v>
      </c>
      <c r="E106" s="239">
        <f t="shared" si="1176"/>
        <v>0.501</v>
      </c>
      <c r="F106" s="240">
        <v>6782.8000000000002</v>
      </c>
      <c r="G106" s="239">
        <f t="shared" si="1177"/>
        <v>6.2494586959686398e-003</v>
      </c>
      <c r="H106" s="253">
        <v>0.76100000000000001</v>
      </c>
      <c r="I106" s="239">
        <f t="shared" si="1178"/>
        <v>0.76100000000000001</v>
      </c>
      <c r="J106" s="238">
        <v>10993.23</v>
      </c>
      <c r="K106" s="239">
        <f t="shared" si="1179"/>
        <v>6.1473281238990903e-003</v>
      </c>
      <c r="L106" s="242">
        <f t="shared" si="1180"/>
        <v>13.1158714727947</v>
      </c>
    </row>
    <row r="107" s="255" customFormat="1" ht="23.25" customHeight="1">
      <c r="A107" s="235">
        <v>94</v>
      </c>
      <c r="B107" s="243" t="s">
        <v>184</v>
      </c>
      <c r="C107" s="237" t="s">
        <v>90</v>
      </c>
      <c r="D107" s="253">
        <v>0.501</v>
      </c>
      <c r="E107" s="239">
        <f t="shared" si="1176"/>
        <v>0.501</v>
      </c>
      <c r="F107" s="240">
        <v>3096.6300000000001</v>
      </c>
      <c r="G107" s="239">
        <f t="shared" si="1177"/>
        <v>2.85313753637102e-003</v>
      </c>
      <c r="H107" s="253">
        <v>0.79700000000000004</v>
      </c>
      <c r="I107" s="239">
        <f t="shared" si="1178"/>
        <v>0.79700000000000004</v>
      </c>
      <c r="J107" s="238">
        <v>5960.1300000000001</v>
      </c>
      <c r="K107" s="239">
        <f t="shared" si="1179"/>
        <v>3.3328580199899998e-003</v>
      </c>
      <c r="L107" s="242">
        <f t="shared" si="1180"/>
        <v>13.2274398222544</v>
      </c>
    </row>
    <row r="108" s="254" customFormat="1" ht="23.25" customHeight="1">
      <c r="A108" s="235">
        <v>95</v>
      </c>
      <c r="B108" s="243" t="s">
        <v>185</v>
      </c>
      <c r="C108" s="237" t="s">
        <v>90</v>
      </c>
      <c r="D108" s="253">
        <v>0.51400000000000001</v>
      </c>
      <c r="E108" s="239">
        <f t="shared" si="1176"/>
        <v>0.51400000000000001</v>
      </c>
      <c r="F108" s="240">
        <v>3281.29</v>
      </c>
      <c r="G108" s="239">
        <f t="shared" si="1177"/>
        <v>3.0232774554011499e-003</v>
      </c>
      <c r="H108" s="253">
        <v>0.76600000000000001</v>
      </c>
      <c r="I108" s="239">
        <f t="shared" si="1178"/>
        <v>0.76600000000000001</v>
      </c>
      <c r="J108" s="238">
        <v>6286.5</v>
      </c>
      <c r="K108" s="239">
        <f t="shared" si="1179"/>
        <v>3.5153615680643098e-003</v>
      </c>
      <c r="L108" s="242">
        <f t="shared" si="1180"/>
        <v>13.061545560938599</v>
      </c>
    </row>
    <row r="109" s="254" customFormat="1" ht="23.25" customHeight="1">
      <c r="A109" s="235">
        <v>96</v>
      </c>
      <c r="B109" s="243" t="s">
        <v>186</v>
      </c>
      <c r="C109" s="237" t="s">
        <v>90</v>
      </c>
      <c r="D109" s="253">
        <v>0.58999999999999997</v>
      </c>
      <c r="E109" s="239">
        <f t="shared" si="1176"/>
        <v>0.58999999999999997</v>
      </c>
      <c r="F109" s="240">
        <v>7660.3400000000001</v>
      </c>
      <c r="G109" s="239">
        <f t="shared" si="1177"/>
        <v>7.0579964656301902e-003</v>
      </c>
      <c r="H109" s="253">
        <v>0.81599999999999995</v>
      </c>
      <c r="I109" s="239">
        <f t="shared" si="1178"/>
        <v>0.81599999999999995</v>
      </c>
      <c r="J109" s="238">
        <v>11144.780000000001</v>
      </c>
      <c r="K109" s="239">
        <f t="shared" si="1179"/>
        <v>6.2320736970542896e-003</v>
      </c>
      <c r="L109" s="242">
        <f t="shared" si="1180"/>
        <v>14.591602806507399</v>
      </c>
    </row>
    <row r="110" s="254" customFormat="1" ht="23.25" customHeight="1">
      <c r="A110" s="235">
        <v>97</v>
      </c>
      <c r="B110" s="243" t="s">
        <v>187</v>
      </c>
      <c r="C110" s="237" t="s">
        <v>90</v>
      </c>
      <c r="D110" s="253">
        <v>0.61299999999999999</v>
      </c>
      <c r="E110" s="239">
        <f t="shared" si="1176"/>
        <v>0.61299999999999999</v>
      </c>
      <c r="F110" s="240">
        <v>2927.27</v>
      </c>
      <c r="G110" s="239">
        <f t="shared" si="1177"/>
        <v>2.6970945563702499e-003</v>
      </c>
      <c r="H110" s="253">
        <v>0.82199999999999995</v>
      </c>
      <c r="I110" s="239">
        <f t="shared" si="1178"/>
        <v>0.82199999999999995</v>
      </c>
      <c r="J110" s="238">
        <v>4261.4700000000003</v>
      </c>
      <c r="K110" s="239">
        <f t="shared" si="1179"/>
        <v>2.3829806508325799e-003</v>
      </c>
      <c r="L110" s="242">
        <f t="shared" si="1180"/>
        <v>14.553203008288101</v>
      </c>
    </row>
    <row r="111" s="254" customFormat="1" ht="23.25" customHeight="1">
      <c r="A111" s="235">
        <v>98</v>
      </c>
      <c r="B111" s="243" t="s">
        <v>188</v>
      </c>
      <c r="C111" s="237" t="s">
        <v>90</v>
      </c>
      <c r="D111" s="253">
        <v>0.52800000000000002</v>
      </c>
      <c r="E111" s="239">
        <f t="shared" si="1176"/>
        <v>0.52800000000000002</v>
      </c>
      <c r="F111" s="240">
        <v>5853.1199999999999</v>
      </c>
      <c r="G111" s="239">
        <f t="shared" si="1177"/>
        <v>5.3928807693796096e-003</v>
      </c>
      <c r="H111" s="253">
        <v>0.76500000000000001</v>
      </c>
      <c r="I111" s="239">
        <f t="shared" si="1178"/>
        <v>0.76500000000000001</v>
      </c>
      <c r="J111" s="238">
        <v>8932.7399999999998</v>
      </c>
      <c r="K111" s="239">
        <f t="shared" si="1179"/>
        <v>4.9951182523678998e-003</v>
      </c>
      <c r="L111" s="242">
        <f t="shared" si="1180"/>
        <v>13.3455199608699</v>
      </c>
    </row>
    <row r="112" s="254" customFormat="1" ht="23.25" customHeight="1">
      <c r="A112" s="235">
        <v>99</v>
      </c>
      <c r="B112" s="243" t="s">
        <v>189</v>
      </c>
      <c r="C112" s="237" t="s">
        <v>90</v>
      </c>
      <c r="D112" s="253">
        <v>0.63800000000000001</v>
      </c>
      <c r="E112" s="239">
        <f t="shared" si="1176"/>
        <v>0.63800000000000001</v>
      </c>
      <c r="F112" s="240">
        <v>2919.8699999999999</v>
      </c>
      <c r="G112" s="239">
        <f t="shared" si="1177"/>
        <v>2.6902764289965702e-003</v>
      </c>
      <c r="H112" s="253">
        <v>0.78400000000000003</v>
      </c>
      <c r="I112" s="239">
        <f t="shared" si="1178"/>
        <v>0.78400000000000003</v>
      </c>
      <c r="J112" s="238">
        <v>4152.9200000000001</v>
      </c>
      <c r="K112" s="239">
        <f t="shared" si="1179"/>
        <v>2.3222803409282799e-003</v>
      </c>
      <c r="L112" s="242">
        <f t="shared" si="1180"/>
        <v>14.420502270797</v>
      </c>
    </row>
    <row r="113" s="255" customFormat="1" ht="23.25" customHeight="1">
      <c r="A113" s="228"/>
      <c r="B113" s="229" t="s">
        <v>190</v>
      </c>
      <c r="C113" s="230"/>
      <c r="D113" s="252">
        <v>0.46600000000000003</v>
      </c>
      <c r="E113" s="232"/>
      <c r="F113" s="231">
        <v>30623.860000000001</v>
      </c>
      <c r="G113" s="232"/>
      <c r="H113" s="252">
        <v>0.79900000000000004</v>
      </c>
      <c r="I113" s="232">
        <v>0.120094475413519</v>
      </c>
      <c r="J113" s="231">
        <v>57737.18</v>
      </c>
      <c r="K113" s="232"/>
      <c r="L113" s="234"/>
    </row>
    <row r="114" s="254" customFormat="1" ht="23.25" customHeight="1">
      <c r="A114" s="235">
        <v>100</v>
      </c>
      <c r="B114" s="243" t="s">
        <v>192</v>
      </c>
      <c r="C114" s="237" t="s">
        <v>90</v>
      </c>
      <c r="D114" s="253">
        <v>0.43099999999999999</v>
      </c>
      <c r="E114" s="239">
        <f t="shared" si="1176"/>
        <v>0</v>
      </c>
      <c r="F114" s="240">
        <v>6143</v>
      </c>
      <c r="G114" s="239">
        <f t="shared" si="1177"/>
        <v>5.6599670887148897e-003</v>
      </c>
      <c r="H114" s="253">
        <v>0.80200000000000005</v>
      </c>
      <c r="I114" s="239">
        <f t="shared" si="1178"/>
        <v>0.80200000000000005</v>
      </c>
      <c r="J114" s="238">
        <v>12675.91</v>
      </c>
      <c r="K114" s="239">
        <f t="shared" si="1179"/>
        <v>7.0882696022018703e-003</v>
      </c>
      <c r="L114" s="242">
        <f t="shared" si="1180"/>
        <v>8.5299294676366699</v>
      </c>
    </row>
    <row r="115" s="254" customFormat="1" ht="23.25" customHeight="1">
      <c r="A115" s="235">
        <v>101</v>
      </c>
      <c r="B115" s="243" t="s">
        <v>193</v>
      </c>
      <c r="C115" s="237" t="s">
        <v>90</v>
      </c>
      <c r="D115" s="253">
        <v>0.45200000000000001</v>
      </c>
      <c r="E115" s="239">
        <f t="shared" si="1176"/>
        <v>0</v>
      </c>
      <c r="F115" s="240">
        <v>9207.5</v>
      </c>
      <c r="G115" s="239">
        <f t="shared" si="1177"/>
        <v>8.4835010531242698e-003</v>
      </c>
      <c r="H115" s="253">
        <v>0.755</v>
      </c>
      <c r="I115" s="239">
        <f t="shared" si="1178"/>
        <v>0.755</v>
      </c>
      <c r="J115" s="238">
        <v>16280.889999999999</v>
      </c>
      <c r="K115" s="239">
        <f t="shared" si="1179"/>
        <v>9.1041461862534905e-003</v>
      </c>
      <c r="L115" s="242">
        <f t="shared" si="1180"/>
        <v>8.2535058895751092</v>
      </c>
    </row>
    <row r="116" s="254" customFormat="1" ht="23.25" customHeight="1">
      <c r="A116" s="235">
        <v>102</v>
      </c>
      <c r="B116" s="243" t="s">
        <v>194</v>
      </c>
      <c r="C116" s="237" t="s">
        <v>78</v>
      </c>
      <c r="D116" s="253">
        <v>0.50700000000000001</v>
      </c>
      <c r="E116" s="239">
        <f t="shared" si="1176"/>
        <v>0.50700000000000001</v>
      </c>
      <c r="F116" s="240">
        <v>4432.46</v>
      </c>
      <c r="G116" s="239">
        <f t="shared" si="1177"/>
        <v>4.08392930523282e-003</v>
      </c>
      <c r="H116" s="253">
        <v>0.80800000000000005</v>
      </c>
      <c r="I116" s="239">
        <f t="shared" si="1178"/>
        <v>0.80800000000000005</v>
      </c>
      <c r="J116" s="238">
        <v>8082.5799999999999</v>
      </c>
      <c r="K116" s="239">
        <f t="shared" si="1179"/>
        <v>4.5197154382892301e-003</v>
      </c>
      <c r="L116" s="242">
        <f t="shared" si="1180"/>
        <v>13.4941457897409</v>
      </c>
    </row>
    <row r="117" s="254" customFormat="1" ht="23.25" customHeight="1">
      <c r="A117" s="235">
        <v>103</v>
      </c>
      <c r="B117" s="243" t="s">
        <v>195</v>
      </c>
      <c r="C117" s="237" t="s">
        <v>90</v>
      </c>
      <c r="D117" s="253">
        <v>0.441</v>
      </c>
      <c r="E117" s="239">
        <f t="shared" si="1176"/>
        <v>0</v>
      </c>
      <c r="F117" s="240">
        <v>5013.8199999999997</v>
      </c>
      <c r="G117" s="239">
        <f t="shared" si="1177"/>
        <v>4.6195761336058098e-003</v>
      </c>
      <c r="H117" s="253">
        <v>0.80800000000000005</v>
      </c>
      <c r="I117" s="239">
        <f t="shared" si="1178"/>
        <v>0.80800000000000005</v>
      </c>
      <c r="J117" s="238">
        <v>9819.7000000000007</v>
      </c>
      <c r="K117" s="239">
        <f t="shared" si="1179"/>
        <v>5.4910993382519899e-003</v>
      </c>
      <c r="L117" s="242">
        <f t="shared" si="1180"/>
        <v>8.4844270188743103</v>
      </c>
    </row>
    <row r="118" s="255" customFormat="1" ht="23.25" customHeight="1">
      <c r="A118" s="235">
        <v>104</v>
      </c>
      <c r="B118" s="243" t="s">
        <v>196</v>
      </c>
      <c r="C118" s="237" t="s">
        <v>90</v>
      </c>
      <c r="D118" s="253">
        <v>0.53200000000000003</v>
      </c>
      <c r="E118" s="239">
        <f t="shared" si="1176"/>
        <v>0.53200000000000003</v>
      </c>
      <c r="F118" s="240">
        <v>5827.0699999999997</v>
      </c>
      <c r="G118" s="239">
        <f t="shared" si="1177"/>
        <v>5.3688791182871396e-003</v>
      </c>
      <c r="H118" s="253">
        <v>0.85299999999999998</v>
      </c>
      <c r="I118" s="239">
        <f t="shared" si="1178"/>
        <v>0.85299999999999998</v>
      </c>
      <c r="J118" s="238">
        <v>10868.09</v>
      </c>
      <c r="K118" s="239">
        <f t="shared" si="1179"/>
        <v>6.0773508159172899e-003</v>
      </c>
      <c r="L118" s="242">
        <f t="shared" si="1180"/>
        <v>14.307849197368199</v>
      </c>
    </row>
    <row r="119" s="254" customFormat="1" ht="23.25" customHeight="1">
      <c r="A119" s="228"/>
      <c r="B119" s="229" t="s">
        <v>197</v>
      </c>
      <c r="C119" s="230"/>
      <c r="D119" s="252">
        <v>0.34000000000000002</v>
      </c>
      <c r="E119" s="232"/>
      <c r="F119" s="231">
        <v>23741.209999999999</v>
      </c>
      <c r="G119" s="232"/>
      <c r="H119" s="252">
        <v>0.47299999999999998</v>
      </c>
      <c r="I119" s="232">
        <v>7.1094726996989197e-002</v>
      </c>
      <c r="J119" s="231">
        <v>49663.220000000001</v>
      </c>
      <c r="K119" s="232"/>
      <c r="L119" s="234"/>
    </row>
    <row r="120" s="254" customFormat="1" ht="23.25" customHeight="1">
      <c r="A120" s="235">
        <v>105</v>
      </c>
      <c r="B120" s="243" t="s">
        <v>199</v>
      </c>
      <c r="C120" s="237" t="s">
        <v>78</v>
      </c>
      <c r="D120" s="253">
        <v>0.48799999999999999</v>
      </c>
      <c r="E120" s="239">
        <f t="shared" si="1176"/>
        <v>0</v>
      </c>
      <c r="F120" s="240">
        <v>7149.9899999999998</v>
      </c>
      <c r="G120" s="239">
        <f t="shared" si="1177"/>
        <v>6.5877760189875598e-003</v>
      </c>
      <c r="H120" s="253">
        <v>0.34100000000000003</v>
      </c>
      <c r="I120" s="239">
        <f t="shared" si="1178"/>
        <v>0</v>
      </c>
      <c r="J120" s="238">
        <v>11433.07</v>
      </c>
      <c r="K120" s="239">
        <f t="shared" si="1179"/>
        <v>6.3932832073473403e-003</v>
      </c>
      <c r="L120" s="242">
        <f t="shared" si="1180"/>
        <v>0.51924236905339605</v>
      </c>
    </row>
    <row r="121" s="254" customFormat="1" ht="23.25" customHeight="1">
      <c r="A121" s="235">
        <v>106</v>
      </c>
      <c r="B121" s="243" t="s">
        <v>200</v>
      </c>
      <c r="C121" s="237" t="s">
        <v>90</v>
      </c>
      <c r="D121" s="253">
        <v>0.36399999999999999</v>
      </c>
      <c r="E121" s="239">
        <f t="shared" si="1176"/>
        <v>0</v>
      </c>
      <c r="F121" s="240">
        <v>3313.2399999999998</v>
      </c>
      <c r="G121" s="239">
        <f t="shared" si="1177"/>
        <v>3.0527151810212801e-003</v>
      </c>
      <c r="H121" s="253">
        <v>0.75</v>
      </c>
      <c r="I121" s="239">
        <f t="shared" si="1178"/>
        <v>0.75</v>
      </c>
      <c r="J121" s="238">
        <v>7405.0299999999997</v>
      </c>
      <c r="K121" s="239">
        <f t="shared" si="1179"/>
        <v>4.1408347844370096e-003</v>
      </c>
      <c r="L121" s="242">
        <f t="shared" si="1180"/>
        <v>7.7877419986183298</v>
      </c>
    </row>
    <row r="122" s="255" customFormat="1" ht="23.25" customHeight="1">
      <c r="A122" s="235">
        <v>107</v>
      </c>
      <c r="B122" s="243" t="s">
        <v>201</v>
      </c>
      <c r="C122" s="237" t="s">
        <v>90</v>
      </c>
      <c r="D122" s="253">
        <v>0.505</v>
      </c>
      <c r="E122" s="239">
        <f t="shared" si="1176"/>
        <v>0.505</v>
      </c>
      <c r="F122" s="240">
        <v>6489.3599999999997</v>
      </c>
      <c r="G122" s="239">
        <f t="shared" si="1177"/>
        <v>5.9790923045454801e-003</v>
      </c>
      <c r="H122" s="253">
        <v>0.76700000000000002</v>
      </c>
      <c r="I122" s="239">
        <f t="shared" si="1178"/>
        <v>0.76700000000000002</v>
      </c>
      <c r="J122" s="238">
        <v>10327.66</v>
      </c>
      <c r="K122" s="239">
        <f t="shared" si="1179"/>
        <v>5.7751465922270097e-003</v>
      </c>
      <c r="L122" s="242">
        <f t="shared" si="1180"/>
        <v>13.1901695558709</v>
      </c>
    </row>
    <row r="123" s="254" customFormat="1" ht="23.25" customHeight="1">
      <c r="A123" s="235">
        <v>108</v>
      </c>
      <c r="B123" s="243" t="s">
        <v>202</v>
      </c>
      <c r="C123" s="237" t="s">
        <v>90</v>
      </c>
      <c r="D123" s="253">
        <v>0.107</v>
      </c>
      <c r="E123" s="239">
        <f t="shared" si="1176"/>
        <v>0</v>
      </c>
      <c r="F123" s="240">
        <v>2158.98</v>
      </c>
      <c r="G123" s="239">
        <f t="shared" si="1177"/>
        <v>1.9892163023268201e-003</v>
      </c>
      <c r="H123" s="253">
        <v>0.36499999999999999</v>
      </c>
      <c r="I123" s="239">
        <f t="shared" si="1178"/>
        <v>0</v>
      </c>
      <c r="J123" s="238">
        <v>12563.25</v>
      </c>
      <c r="K123" s="239">
        <f t="shared" si="1179"/>
        <v>7.02527101248452e-003</v>
      </c>
      <c r="L123" s="242">
        <f t="shared" si="1180"/>
        <v>0.36057949259245398</v>
      </c>
    </row>
    <row r="124" s="254" customFormat="1" ht="23.25" customHeight="1">
      <c r="A124" s="235">
        <v>109</v>
      </c>
      <c r="B124" s="243" t="s">
        <v>203</v>
      </c>
      <c r="C124" s="237" t="s">
        <v>90</v>
      </c>
      <c r="D124" s="253">
        <v>0.35599999999999998</v>
      </c>
      <c r="E124" s="239">
        <f t="shared" si="1176"/>
        <v>0</v>
      </c>
      <c r="F124" s="240">
        <v>4629.6400000000003</v>
      </c>
      <c r="G124" s="239">
        <f t="shared" si="1177"/>
        <v>4.2656047586843602e-003</v>
      </c>
      <c r="H124" s="253">
        <v>0.57999999999999996</v>
      </c>
      <c r="I124" s="239">
        <f t="shared" si="1178"/>
        <v>0</v>
      </c>
      <c r="J124" s="238">
        <v>7868.5</v>
      </c>
      <c r="K124" s="239">
        <f t="shared" si="1179"/>
        <v>4.4000035788298803e-003</v>
      </c>
      <c r="L124" s="242">
        <f t="shared" si="1180"/>
        <v>0.34662433350056998</v>
      </c>
    </row>
    <row r="125" s="251" customFormat="1" ht="23.25" customHeight="1">
      <c r="A125" s="228"/>
      <c r="B125" s="229" t="s">
        <v>204</v>
      </c>
      <c r="C125" s="230"/>
      <c r="D125" s="252">
        <v>0.58599999999999997</v>
      </c>
      <c r="E125" s="232"/>
      <c r="F125" s="231">
        <v>29013.23</v>
      </c>
      <c r="G125" s="232"/>
      <c r="H125" s="252">
        <v>0.82299999999999995</v>
      </c>
      <c r="I125" s="232">
        <v>0.12370181885522601</v>
      </c>
      <c r="J125" s="231">
        <v>45219.169999999998</v>
      </c>
      <c r="K125" s="232"/>
      <c r="L125" s="234"/>
    </row>
    <row r="126" s="254" customFormat="1" ht="23.25" customHeight="1">
      <c r="A126" s="235">
        <v>110</v>
      </c>
      <c r="B126" s="243" t="s">
        <v>206</v>
      </c>
      <c r="C126" s="237" t="s">
        <v>78</v>
      </c>
      <c r="D126" s="253">
        <v>0.54400000000000004</v>
      </c>
      <c r="E126" s="239">
        <f t="shared" si="1176"/>
        <v>0.54400000000000004</v>
      </c>
      <c r="F126" s="240">
        <v>1227.6700000000001</v>
      </c>
      <c r="G126" s="239">
        <f t="shared" si="1177"/>
        <v>1.13113654497845e-003</v>
      </c>
      <c r="H126" s="253">
        <v>0.79400000000000004</v>
      </c>
      <c r="I126" s="239">
        <f t="shared" si="1178"/>
        <v>0.79400000000000004</v>
      </c>
      <c r="J126" s="238">
        <v>2214.3600000000001</v>
      </c>
      <c r="K126" s="239">
        <f t="shared" si="1179"/>
        <v>1.2382527705176e-003</v>
      </c>
      <c r="L126" s="242">
        <f t="shared" si="1180"/>
        <v>13.4747755726198</v>
      </c>
    </row>
    <row r="127" s="254" customFormat="1" ht="23.25" customHeight="1">
      <c r="A127" s="235">
        <v>111</v>
      </c>
      <c r="B127" s="243" t="s">
        <v>207</v>
      </c>
      <c r="C127" s="237" t="s">
        <v>90</v>
      </c>
      <c r="D127" s="253">
        <v>0.61199999999999999</v>
      </c>
      <c r="E127" s="239">
        <f t="shared" si="1176"/>
        <v>0.61199999999999999</v>
      </c>
      <c r="F127" s="240">
        <v>2172.0900000000001</v>
      </c>
      <c r="G127" s="239">
        <f t="shared" si="1177"/>
        <v>2.0012954442009999e-003</v>
      </c>
      <c r="H127" s="253">
        <v>0.88600000000000001</v>
      </c>
      <c r="I127" s="239">
        <f t="shared" si="1178"/>
        <v>0.88600000000000001</v>
      </c>
      <c r="J127" s="238">
        <v>3612.0799999999999</v>
      </c>
      <c r="K127" s="239">
        <f t="shared" si="1179"/>
        <v>2.0198468484488598e-003</v>
      </c>
      <c r="L127" s="242">
        <f t="shared" si="1180"/>
        <v>15.140845691706</v>
      </c>
    </row>
    <row r="128" s="254" customFormat="1" ht="23.25" customHeight="1">
      <c r="A128" s="235">
        <v>112</v>
      </c>
      <c r="B128" s="243" t="s">
        <v>208</v>
      </c>
      <c r="C128" s="237" t="s">
        <v>90</v>
      </c>
      <c r="D128" s="253">
        <v>0.64900000000000002</v>
      </c>
      <c r="E128" s="239">
        <f t="shared" si="1176"/>
        <v>0.64900000000000002</v>
      </c>
      <c r="F128" s="240">
        <v>7613.21</v>
      </c>
      <c r="G128" s="239">
        <f t="shared" si="1177"/>
        <v>7.0145723652083897e-003</v>
      </c>
      <c r="H128" s="253">
        <v>0.82099999999999995</v>
      </c>
      <c r="I128" s="239">
        <f t="shared" si="1178"/>
        <v>0.82099999999999995</v>
      </c>
      <c r="J128" s="238">
        <v>10501.809999999999</v>
      </c>
      <c r="K128" s="239">
        <f t="shared" si="1179"/>
        <v>5.8725299083931398e-003</v>
      </c>
      <c r="L128" s="242">
        <f t="shared" si="1180"/>
        <v>15.2154840909441</v>
      </c>
    </row>
    <row r="129" s="254" customFormat="1" ht="23.25" customHeight="1">
      <c r="A129" s="235">
        <v>113</v>
      </c>
      <c r="B129" s="243" t="s">
        <v>209</v>
      </c>
      <c r="C129" s="237" t="s">
        <v>78</v>
      </c>
      <c r="D129" s="253">
        <v>0.54300000000000004</v>
      </c>
      <c r="E129" s="239">
        <f t="shared" si="1176"/>
        <v>0.54300000000000004</v>
      </c>
      <c r="F129" s="240">
        <v>1793.8900000000001</v>
      </c>
      <c r="G129" s="239">
        <f t="shared" si="1177"/>
        <v>1.6528338532923301e-003</v>
      </c>
      <c r="H129" s="253">
        <v>0.88400000000000001</v>
      </c>
      <c r="I129" s="239">
        <f t="shared" si="1178"/>
        <v>0.88400000000000001</v>
      </c>
      <c r="J129" s="238">
        <v>3398.5599999999999</v>
      </c>
      <c r="K129" s="239">
        <f t="shared" si="1179"/>
        <v>1.9004481366039401e-003</v>
      </c>
      <c r="L129" s="242">
        <f t="shared" si="1180"/>
        <v>14.412131279595901</v>
      </c>
    </row>
    <row r="130" s="254" customFormat="1" ht="23.25" customHeight="1">
      <c r="A130" s="235">
        <v>114</v>
      </c>
      <c r="B130" s="243" t="s">
        <v>210</v>
      </c>
      <c r="C130" s="237" t="s">
        <v>93</v>
      </c>
      <c r="D130" s="253">
        <v>0.56599999999999995</v>
      </c>
      <c r="E130" s="239">
        <f t="shared" si="1176"/>
        <v>0.56599999999999995</v>
      </c>
      <c r="F130" s="240">
        <v>16206.370000000001</v>
      </c>
      <c r="G130" s="239">
        <f t="shared" si="1177"/>
        <v>1.4932039854718601e-002</v>
      </c>
      <c r="H130" s="253">
        <v>0.81100000000000005</v>
      </c>
      <c r="I130" s="239">
        <f t="shared" si="1178"/>
        <v>0.81100000000000005</v>
      </c>
      <c r="J130" s="238">
        <v>25486.360000000001</v>
      </c>
      <c r="K130" s="239">
        <f t="shared" si="1179"/>
        <v>1.4251772918770601e-002</v>
      </c>
      <c r="L130" s="242">
        <f t="shared" si="1180"/>
        <v>14.937352510939601</v>
      </c>
    </row>
    <row r="131" s="254" customFormat="1" ht="23.25" customHeight="1">
      <c r="A131" s="228"/>
      <c r="B131" s="229" t="s">
        <v>211</v>
      </c>
      <c r="C131" s="230"/>
      <c r="D131" s="252">
        <v>0.58299999999999996</v>
      </c>
      <c r="E131" s="232"/>
      <c r="F131" s="231">
        <v>121374.3</v>
      </c>
      <c r="G131" s="232"/>
      <c r="H131" s="252">
        <v>0.84799999999999998</v>
      </c>
      <c r="I131" s="232">
        <v>0.12745946827367199</v>
      </c>
      <c r="J131" s="231">
        <v>197284.51000000001</v>
      </c>
      <c r="K131" s="232"/>
      <c r="L131" s="234"/>
    </row>
    <row r="132" s="251" customFormat="1" ht="23.25" customHeight="1">
      <c r="A132" s="235">
        <v>115</v>
      </c>
      <c r="B132" s="243" t="s">
        <v>213</v>
      </c>
      <c r="C132" s="237" t="s">
        <v>93</v>
      </c>
      <c r="D132" s="253">
        <v>0.54100000000000004</v>
      </c>
      <c r="E132" s="239">
        <f t="shared" si="1176"/>
        <v>0.54100000000000004</v>
      </c>
      <c r="F132" s="240">
        <v>32709.560000000001</v>
      </c>
      <c r="G132" s="239">
        <f t="shared" si="1177"/>
        <v>3.0137560326606701e-002</v>
      </c>
      <c r="H132" s="253">
        <v>0.84399999999999997</v>
      </c>
      <c r="I132" s="239">
        <f t="shared" si="1178"/>
        <v>0.84399999999999997</v>
      </c>
      <c r="J132" s="238">
        <v>60552.639999999999</v>
      </c>
      <c r="K132" s="239">
        <f t="shared" si="1179"/>
        <v>3.3860562077600201e-002</v>
      </c>
      <c r="L132" s="242">
        <f t="shared" si="1180"/>
        <v>16.409924896168299</v>
      </c>
    </row>
    <row r="133" ht="63" customHeight="1">
      <c r="A133" s="235">
        <v>116</v>
      </c>
      <c r="B133" s="243" t="s">
        <v>214</v>
      </c>
      <c r="C133" s="237" t="s">
        <v>93</v>
      </c>
      <c r="D133" s="253">
        <v>0.54800000000000004</v>
      </c>
      <c r="E133" s="239">
        <f t="shared" si="1176"/>
        <v>0.54800000000000004</v>
      </c>
      <c r="F133" s="240">
        <v>29994.869999999999</v>
      </c>
      <c r="G133" s="239">
        <f t="shared" si="1177"/>
        <v>2.76363302995738e-002</v>
      </c>
      <c r="H133" s="253">
        <v>0.86799999999999999</v>
      </c>
      <c r="I133" s="239">
        <f t="shared" si="1178"/>
        <v>0.86799999999999999</v>
      </c>
      <c r="J133" s="238">
        <v>52930.779999999999</v>
      </c>
      <c r="K133" s="239">
        <f t="shared" si="1179"/>
        <v>2.95984776552401e-002</v>
      </c>
      <c r="L133" s="242">
        <f t="shared" si="1180"/>
        <v>16.449392318192601</v>
      </c>
    </row>
    <row r="134" ht="49" customHeight="1">
      <c r="A134" s="235">
        <v>117</v>
      </c>
      <c r="B134" s="243" t="s">
        <v>215</v>
      </c>
      <c r="C134" s="237" t="s">
        <v>93</v>
      </c>
      <c r="D134" s="253">
        <v>0.72399999999999998</v>
      </c>
      <c r="E134" s="239">
        <f t="shared" si="1176"/>
        <v>0.72399999999999998</v>
      </c>
      <c r="F134" s="240">
        <v>23973.18</v>
      </c>
      <c r="G134" s="239">
        <f t="shared" si="1177"/>
        <v>2.2088134431358999e-002</v>
      </c>
      <c r="H134" s="253">
        <v>0.84799999999999998</v>
      </c>
      <c r="I134" s="239">
        <f t="shared" si="1178"/>
        <v>0.84799999999999998</v>
      </c>
      <c r="J134" s="238">
        <v>30551.470000000001</v>
      </c>
      <c r="K134" s="239">
        <f t="shared" si="1179"/>
        <v>1.70841427639974e-002</v>
      </c>
      <c r="L134" s="242">
        <f t="shared" si="1180"/>
        <v>17.286891087814301</v>
      </c>
    </row>
    <row r="135" ht="13.5">
      <c r="A135" s="235">
        <v>118</v>
      </c>
      <c r="B135" s="243" t="s">
        <v>216</v>
      </c>
      <c r="C135" s="237" t="s">
        <v>93</v>
      </c>
      <c r="D135" s="253">
        <v>0.58199999999999996</v>
      </c>
      <c r="E135" s="239">
        <f t="shared" si="1176"/>
        <v>0.58199999999999996</v>
      </c>
      <c r="F135" s="240">
        <v>34678.410000000003</v>
      </c>
      <c r="G135" s="239">
        <f t="shared" si="1177"/>
        <v>3.19515968238583e-002</v>
      </c>
      <c r="H135" s="253">
        <v>0.83399999999999996</v>
      </c>
      <c r="I135" s="239">
        <f t="shared" si="1178"/>
        <v>0.83399999999999996</v>
      </c>
      <c r="J135" s="238">
        <v>53207.610000000001</v>
      </c>
      <c r="K135" s="239">
        <f t="shared" si="1179"/>
        <v>2.9753278823280702e-002</v>
      </c>
      <c r="L135" s="242">
        <f t="shared" si="1180"/>
        <v>16.628195025885599</v>
      </c>
    </row>
    <row r="136" ht="13.5">
      <c r="A136" s="228"/>
      <c r="B136" s="229" t="s">
        <v>217</v>
      </c>
      <c r="C136" s="230"/>
      <c r="D136" s="252">
        <v>0.52200000000000002</v>
      </c>
      <c r="E136" s="232"/>
      <c r="F136" s="231">
        <v>60864.360000000001</v>
      </c>
      <c r="G136" s="232"/>
      <c r="H136" s="252">
        <v>0.79700000000000004</v>
      </c>
      <c r="I136" s="232">
        <v>0.119793863460043</v>
      </c>
      <c r="J136" s="231">
        <v>99778.830000000002</v>
      </c>
      <c r="K136" s="232"/>
      <c r="L136" s="234"/>
    </row>
    <row r="137" ht="13.5">
      <c r="A137" s="235">
        <v>119</v>
      </c>
      <c r="B137" s="243" t="s">
        <v>219</v>
      </c>
      <c r="C137" s="237" t="s">
        <v>93</v>
      </c>
      <c r="D137" s="253">
        <v>0.50900000000000001</v>
      </c>
      <c r="E137" s="239">
        <f t="shared" si="1176"/>
        <v>0.50900000000000001</v>
      </c>
      <c r="F137" s="240">
        <v>16446.540000000001</v>
      </c>
      <c r="G137" s="239">
        <f t="shared" si="1177"/>
        <v>1.51533249427369e-002</v>
      </c>
      <c r="H137" s="253">
        <v>0.72899999999999998</v>
      </c>
      <c r="I137" s="239">
        <f t="shared" si="1178"/>
        <v>0</v>
      </c>
      <c r="J137" s="238">
        <v>25799.209999999999</v>
      </c>
      <c r="K137" s="239">
        <f t="shared" si="1179"/>
        <v>1.4426716188725101e-002</v>
      </c>
      <c r="L137" s="242">
        <f t="shared" si="1180"/>
        <v>6.2732016452584798</v>
      </c>
    </row>
    <row r="138" ht="13.5">
      <c r="A138" s="235">
        <v>120</v>
      </c>
      <c r="B138" s="243" t="s">
        <v>220</v>
      </c>
      <c r="C138" s="237" t="s">
        <v>93</v>
      </c>
      <c r="D138" s="253">
        <v>0.56899999999999995</v>
      </c>
      <c r="E138" s="239">
        <f t="shared" si="1176"/>
        <v>0.56899999999999995</v>
      </c>
      <c r="F138" s="240">
        <v>15514.99</v>
      </c>
      <c r="G138" s="239">
        <f t="shared" si="1177"/>
        <v>1.4295024056933199e-002</v>
      </c>
      <c r="H138" s="253">
        <v>0.83699999999999997</v>
      </c>
      <c r="I138" s="239">
        <f t="shared" si="1178"/>
        <v>0.83699999999999997</v>
      </c>
      <c r="J138" s="238">
        <v>24942.200000000001</v>
      </c>
      <c r="K138" s="239">
        <f t="shared" si="1179"/>
        <v>1.3947482908291399e-002</v>
      </c>
      <c r="L138" s="242">
        <f t="shared" si="1180"/>
        <v>15.189700278608999</v>
      </c>
    </row>
    <row r="139" ht="13.5">
      <c r="A139" s="235">
        <v>121</v>
      </c>
      <c r="B139" s="243" t="s">
        <v>221</v>
      </c>
      <c r="C139" s="237" t="s">
        <v>93</v>
      </c>
      <c r="D139" s="253">
        <v>0.50600000000000001</v>
      </c>
      <c r="E139" s="239">
        <f t="shared" si="1176"/>
        <v>0.50600000000000001</v>
      </c>
      <c r="F139" s="240">
        <v>28902.830000000002</v>
      </c>
      <c r="G139" s="239">
        <f t="shared" si="1177"/>
        <v>2.6630158972932e-002</v>
      </c>
      <c r="H139" s="253">
        <v>0.81699999999999995</v>
      </c>
      <c r="I139" s="239">
        <f t="shared" si="1178"/>
        <v>0.81699999999999995</v>
      </c>
      <c r="J139" s="238">
        <v>49037.410000000003</v>
      </c>
      <c r="K139" s="239">
        <f t="shared" si="1179"/>
        <v>2.7421335641678601e-002</v>
      </c>
      <c r="L139" s="242">
        <f t="shared" si="1180"/>
        <v>15.392059784584401</v>
      </c>
    </row>
    <row r="140" ht="13.5">
      <c r="A140" s="228"/>
      <c r="B140" s="229" t="s">
        <v>222</v>
      </c>
      <c r="C140" s="230"/>
      <c r="D140" s="252">
        <v>0.52100000000000002</v>
      </c>
      <c r="E140" s="232"/>
      <c r="F140" s="231">
        <v>41782.660000000003</v>
      </c>
      <c r="G140" s="232"/>
      <c r="H140" s="252">
        <v>0.76500000000000001</v>
      </c>
      <c r="I140" s="232">
        <v>0.114984072204433</v>
      </c>
      <c r="J140" s="231">
        <v>77123.949999999997</v>
      </c>
      <c r="K140" s="232"/>
      <c r="L140" s="234"/>
    </row>
    <row r="141" ht="13.5">
      <c r="A141" s="235">
        <v>122</v>
      </c>
      <c r="B141" s="243" t="s">
        <v>224</v>
      </c>
      <c r="C141" s="237" t="s">
        <v>90</v>
      </c>
      <c r="D141" s="253">
        <v>0.51700000000000002</v>
      </c>
      <c r="E141" s="239">
        <f t="shared" si="1176"/>
        <v>0.51700000000000002</v>
      </c>
      <c r="F141" s="240">
        <v>2844.5700000000002</v>
      </c>
      <c r="G141" s="239">
        <f t="shared" si="1177"/>
        <v>2.6208973761266e-003</v>
      </c>
      <c r="H141" s="253">
        <v>0.77800000000000002</v>
      </c>
      <c r="I141" s="239">
        <f t="shared" si="1178"/>
        <v>0.77800000000000002</v>
      </c>
      <c r="J141" s="238">
        <v>5048.2200000000003</v>
      </c>
      <c r="K141" s="239">
        <f t="shared" si="1179"/>
        <v>2.8229250894987101e-003</v>
      </c>
      <c r="L141" s="242">
        <f t="shared" si="1180"/>
        <v>13.167752898625</v>
      </c>
    </row>
    <row r="142" ht="13.5">
      <c r="A142" s="235">
        <v>123</v>
      </c>
      <c r="B142" s="243" t="s">
        <v>225</v>
      </c>
      <c r="C142" s="237" t="s">
        <v>90</v>
      </c>
      <c r="D142" s="253">
        <v>0.55300000000000005</v>
      </c>
      <c r="E142" s="239">
        <f t="shared" si="1176"/>
        <v>0.55300000000000005</v>
      </c>
      <c r="F142" s="240">
        <v>6540.6999999999998</v>
      </c>
      <c r="G142" s="239">
        <f t="shared" si="1177"/>
        <v>6.0263953666217698e-003</v>
      </c>
      <c r="H142" s="253">
        <v>0.77700000000000002</v>
      </c>
      <c r="I142" s="239">
        <f t="shared" si="1178"/>
        <v>0.77700000000000002</v>
      </c>
      <c r="J142" s="238">
        <v>10218.719999999999</v>
      </c>
      <c r="K142" s="239">
        <f t="shared" si="1179"/>
        <v>5.7142281973769403e-003</v>
      </c>
      <c r="L142" s="242">
        <f t="shared" si="1180"/>
        <v>13.769624942559901</v>
      </c>
    </row>
    <row r="143" ht="13.5">
      <c r="A143" s="235">
        <v>124</v>
      </c>
      <c r="B143" s="243" t="s">
        <v>226</v>
      </c>
      <c r="C143" s="237" t="s">
        <v>90</v>
      </c>
      <c r="D143" s="253">
        <v>0.50900000000000001</v>
      </c>
      <c r="E143" s="239">
        <f t="shared" si="1176"/>
        <v>0.50900000000000001</v>
      </c>
      <c r="F143" s="240">
        <v>2453.5599999999999</v>
      </c>
      <c r="G143" s="239">
        <f t="shared" si="1177"/>
        <v>2.2606330539129602e-003</v>
      </c>
      <c r="H143" s="253">
        <v>0.78100000000000003</v>
      </c>
      <c r="I143" s="239">
        <f t="shared" si="1178"/>
        <v>0.78100000000000003</v>
      </c>
      <c r="J143" s="238">
        <v>5060.5600000000004</v>
      </c>
      <c r="K143" s="239">
        <f t="shared" si="1179"/>
        <v>2.8298255208595502e-003</v>
      </c>
      <c r="L143" s="242">
        <f t="shared" si="1180"/>
        <v>13.103618342990901</v>
      </c>
    </row>
    <row r="144" ht="13.5">
      <c r="A144" s="235">
        <v>125</v>
      </c>
      <c r="B144" s="243" t="s">
        <v>227</v>
      </c>
      <c r="C144" s="237" t="s">
        <v>90</v>
      </c>
      <c r="D144" s="253">
        <v>0.51800000000000002</v>
      </c>
      <c r="E144" s="239">
        <f t="shared" si="1176"/>
        <v>0.51800000000000002</v>
      </c>
      <c r="F144" s="240">
        <v>5122.5299999999997</v>
      </c>
      <c r="G144" s="239">
        <f t="shared" si="1177"/>
        <v>4.7197381101993698e-003</v>
      </c>
      <c r="H144" s="253">
        <v>0.67200000000000004</v>
      </c>
      <c r="I144" s="239">
        <f t="shared" si="1178"/>
        <v>0</v>
      </c>
      <c r="J144" s="238">
        <v>7286.4099999999999</v>
      </c>
      <c r="K144" s="239">
        <f t="shared" si="1179"/>
        <v>4.0745034093946503e-003</v>
      </c>
      <c r="L144" s="242">
        <f t="shared" si="1180"/>
        <v>5.5317696607837599</v>
      </c>
    </row>
    <row r="145" ht="13.5">
      <c r="A145" s="235">
        <v>126</v>
      </c>
      <c r="B145" s="243" t="s">
        <v>228</v>
      </c>
      <c r="C145" s="237" t="s">
        <v>90</v>
      </c>
      <c r="D145" s="253">
        <v>0.54700000000000004</v>
      </c>
      <c r="E145" s="239">
        <f t="shared" si="1176"/>
        <v>0.54700000000000004</v>
      </c>
      <c r="F145" s="240">
        <v>7124.6999999999998</v>
      </c>
      <c r="G145" s="239">
        <f t="shared" si="1177"/>
        <v>6.5644746080037401e-003</v>
      </c>
      <c r="H145" s="253">
        <v>0.81799999999999995</v>
      </c>
      <c r="I145" s="239">
        <f t="shared" si="1178"/>
        <v>0.81799999999999995</v>
      </c>
      <c r="J145" s="238">
        <v>11445.1</v>
      </c>
      <c r="K145" s="239">
        <f t="shared" si="1179"/>
        <v>6.4000102891359004e-003</v>
      </c>
      <c r="L145" s="242">
        <f t="shared" si="1180"/>
        <v>14.168579395885599</v>
      </c>
    </row>
    <row r="146" ht="13.5">
      <c r="A146" s="235">
        <v>127</v>
      </c>
      <c r="B146" s="243" t="s">
        <v>229</v>
      </c>
      <c r="C146" s="237" t="s">
        <v>90</v>
      </c>
      <c r="D146" s="253">
        <v>0.50800000000000001</v>
      </c>
      <c r="E146" s="239">
        <f t="shared" si="1176"/>
        <v>0.50800000000000001</v>
      </c>
      <c r="F146" s="240">
        <v>2563.46</v>
      </c>
      <c r="G146" s="239">
        <f t="shared" si="1177"/>
        <v>2.3618914590976901e-003</v>
      </c>
      <c r="H146" s="253">
        <v>0.753</v>
      </c>
      <c r="I146" s="239">
        <f t="shared" si="1178"/>
        <v>0.753</v>
      </c>
      <c r="J146" s="238">
        <v>4393.9700000000003</v>
      </c>
      <c r="K146" s="239">
        <f t="shared" si="1179"/>
        <v>2.4570736131754602e-003</v>
      </c>
      <c r="L146" s="242">
        <f t="shared" si="1180"/>
        <v>12.802758602890901</v>
      </c>
    </row>
    <row r="147" ht="13.5">
      <c r="A147" s="235">
        <v>128</v>
      </c>
      <c r="B147" s="243" t="s">
        <v>230</v>
      </c>
      <c r="C147" s="237" t="s">
        <v>90</v>
      </c>
      <c r="D147" s="253">
        <v>0.501</v>
      </c>
      <c r="E147" s="239">
        <f t="shared" si="1176"/>
        <v>0.501</v>
      </c>
      <c r="F147" s="240">
        <v>4503.9099999999999</v>
      </c>
      <c r="G147" s="239">
        <f t="shared" si="1177"/>
        <v>4.1497610891313499e-003</v>
      </c>
      <c r="H147" s="253">
        <v>0.80600000000000005</v>
      </c>
      <c r="I147" s="239">
        <f t="shared" si="1178"/>
        <v>0.80600000000000005</v>
      </c>
      <c r="J147" s="238">
        <v>7772.1700000000001</v>
      </c>
      <c r="K147" s="239">
        <f t="shared" si="1179"/>
        <v>4.3461365972261804e-003</v>
      </c>
      <c r="L147" s="242">
        <f t="shared" si="1180"/>
        <v>13.409835907454299</v>
      </c>
    </row>
    <row r="148" ht="13.5">
      <c r="A148" s="235">
        <v>129</v>
      </c>
      <c r="B148" s="243" t="s">
        <v>231</v>
      </c>
      <c r="C148" s="237" t="s">
        <v>90</v>
      </c>
      <c r="D148" s="253">
        <v>0.502</v>
      </c>
      <c r="E148" s="239">
        <f t="shared" si="1176"/>
        <v>0.502</v>
      </c>
      <c r="F148" s="240">
        <v>10629.219999999999</v>
      </c>
      <c r="G148" s="239">
        <f t="shared" si="1177"/>
        <v>9.7934291679489006e-003</v>
      </c>
      <c r="H148" s="253">
        <v>0.752</v>
      </c>
      <c r="I148" s="239">
        <f t="shared" si="1178"/>
        <v>0.752</v>
      </c>
      <c r="J148" s="238">
        <v>25898.799999999999</v>
      </c>
      <c r="K148" s="239">
        <f t="shared" si="1179"/>
        <v>1.4482406136798499e-002</v>
      </c>
      <c r="L148" s="242">
        <f t="shared" si="1180"/>
        <v>13.511033412189899</v>
      </c>
    </row>
    <row r="149">
      <c r="A149" s="256"/>
      <c r="B149" s="245"/>
      <c r="C149" s="245"/>
      <c r="F149" s="215">
        <v>1085342</v>
      </c>
      <c r="J149" s="215">
        <v>1788294</v>
      </c>
      <c r="L149" s="213"/>
    </row>
  </sheetData>
  <autoFilter ref="A3:O277"/>
  <mergeCells count="1">
    <mergeCell ref="A2:L2"/>
  </mergeCells>
  <printOptions headings="0" gridLines="0"/>
  <pageMargins left="0.70069444444444484" right="0.70069444444444484" top="0.75138888888888899" bottom="0.75138888888888899" header="0.297916666666667" footer="0.297916666666667"/>
  <pageSetup paperSize="9" scale="100" fitToWidth="1" fitToHeight="0" pageOrder="downThenOver" orientation="landscape" usePrinterDefaults="1" blackAndWhite="0" draft="0" cellComments="none" useFirstPageNumber="0" errors="displayed" horizontalDpi="600" verticalDpi="600" copies="1"/>
  <headerFooter/>
</worksheet>
</file>

<file path=docProps/app.xml><?xml version="1.0" encoding="utf-8"?>
<Properties xmlns="http://schemas.openxmlformats.org/officeDocument/2006/extended-properties" xmlns:vt="http://schemas.openxmlformats.org/officeDocument/2006/docPropsVTypes">
  <Application>ONLYOFFICE/7.5.1.23</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匿名</cp:lastModifiedBy>
  <cp:revision>1</cp:revision>
  <dcterms:modified xsi:type="dcterms:W3CDTF">2025-09-26T08:22:04Z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50A79FCEC7F744BA8B3B2137ADA76B2A</vt:lpwstr>
  </property>
</Properties>
</file>